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2\"/>
    </mc:Choice>
  </mc:AlternateContent>
  <xr:revisionPtr revIDLastSave="0" documentId="13_ncr:1_{CAC90423-053E-4FE0-B5BF-21F36E33B03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Sheet1!$A$6:$P$6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</calcChain>
</file>

<file path=xl/sharedStrings.xml><?xml version="1.0" encoding="utf-8"?>
<sst xmlns="http://schemas.openxmlformats.org/spreadsheetml/2006/main" count="3392" uniqueCount="492">
  <si>
    <t>Rank</t>
  </si>
  <si>
    <t>Bull</t>
  </si>
  <si>
    <t>Name</t>
  </si>
  <si>
    <t>Breed</t>
  </si>
  <si>
    <t>Supplier</t>
  </si>
  <si>
    <t>Rating #</t>
  </si>
  <si>
    <t>Liver Fluke PTA</t>
  </si>
  <si>
    <t>Liver Fluke Reliability</t>
  </si>
  <si>
    <t>Number of herds</t>
  </si>
  <si>
    <t>Number of progeny</t>
  </si>
  <si>
    <t>Number of herdmates</t>
  </si>
  <si>
    <t>Progeny prevalence</t>
  </si>
  <si>
    <t>Herdmate prevalence</t>
  </si>
  <si>
    <t>EBI</t>
  </si>
  <si>
    <t>EBI Rel</t>
  </si>
  <si>
    <t xml:space="preserve">CRESCENT EXCELL MISTY ET </t>
  </si>
  <si>
    <t xml:space="preserve">JE </t>
  </si>
  <si>
    <t xml:space="preserve">EUROGENE </t>
  </si>
  <si>
    <t xml:space="preserve">Best 1% </t>
  </si>
  <si>
    <t xml:space="preserve">. </t>
  </si>
  <si>
    <t xml:space="preserve">NEXTGEN HITMAN </t>
  </si>
  <si>
    <t xml:space="preserve">DOVEA </t>
  </si>
  <si>
    <t xml:space="preserve">RAHEENARRAN BCG SOCHAR </t>
  </si>
  <si>
    <t xml:space="preserve">FR </t>
  </si>
  <si>
    <t xml:space="preserve">GLENUI 5-STAR HARRY ET </t>
  </si>
  <si>
    <t xml:space="preserve">GLENUI DEGREE HOSS </t>
  </si>
  <si>
    <t xml:space="preserve">PUKETAWA AD SUPERSTITION </t>
  </si>
  <si>
    <t xml:space="preserve">MU/PG </t>
  </si>
  <si>
    <t xml:space="preserve">Best 5% </t>
  </si>
  <si>
    <t xml:space="preserve">ULMARRA TT GALLIVANT S2J </t>
  </si>
  <si>
    <t xml:space="preserve">(IG) NEXTGEN BRANDY </t>
  </si>
  <si>
    <t xml:space="preserve">PUKEROA GUN WALKER JG </t>
  </si>
  <si>
    <t xml:space="preserve">LIC NEWBAWN LILY </t>
  </si>
  <si>
    <t xml:space="preserve">(IG) NEXTGEN LOXLEY </t>
  </si>
  <si>
    <t xml:space="preserve">LYNBROOK GG QUICKSILVER </t>
  </si>
  <si>
    <t xml:space="preserve">VJ HASMARK LIBERO LOTTO </t>
  </si>
  <si>
    <t xml:space="preserve">BONACORD MURMURS BOSWELL </t>
  </si>
  <si>
    <t xml:space="preserve">VR AUTION EDBO EFECT </t>
  </si>
  <si>
    <t xml:space="preserve">AY </t>
  </si>
  <si>
    <t xml:space="preserve">GLEN LEITH DEGREE OMNIBUS </t>
  </si>
  <si>
    <t xml:space="preserve">HEUVEN SUPER WISEGUY </t>
  </si>
  <si>
    <t xml:space="preserve">GLEN LEITH AND QUIZ S2J </t>
  </si>
  <si>
    <t xml:space="preserve">POSTERITY DIESEL RADIUM </t>
  </si>
  <si>
    <t xml:space="preserve">FOXTON PG COYOTE ET S2J </t>
  </si>
  <si>
    <t xml:space="preserve">(IG) TAMARIU HAROLD </t>
  </si>
  <si>
    <t xml:space="preserve">HO </t>
  </si>
  <si>
    <t xml:space="preserve">GLEN KORU EPIC </t>
  </si>
  <si>
    <t xml:space="preserve">(IG)LOCHINVER JODY SRM </t>
  </si>
  <si>
    <t xml:space="preserve">RIVERVIEW AND DEXTER S2J </t>
  </si>
  <si>
    <t xml:space="preserve">Best 10% </t>
  </si>
  <si>
    <t xml:space="preserve">VAN STRAALENS DUEL </t>
  </si>
  <si>
    <t xml:space="preserve">ATHLIAM PACEMAKER </t>
  </si>
  <si>
    <t xml:space="preserve">MCBRIDES H4 HARMON J9F7 </t>
  </si>
  <si>
    <t xml:space="preserve">(IG) OLCASTLETOWN PHANTHOM </t>
  </si>
  <si>
    <t xml:space="preserve">BELLS OI FLOYD S3J </t>
  </si>
  <si>
    <t xml:space="preserve">MORRISHEEN OJI FRANK </t>
  </si>
  <si>
    <t xml:space="preserve">CROSSANS CRITICAL-ET </t>
  </si>
  <si>
    <t xml:space="preserve">(IG) ROSSBANE NIALL </t>
  </si>
  <si>
    <t xml:space="preserve">TAUNTS REVENGE </t>
  </si>
  <si>
    <t xml:space="preserve">KAIMATARAU TERRIFIC PUNCH </t>
  </si>
  <si>
    <t xml:space="preserve">KILDARRA SUPERSTAR </t>
  </si>
  <si>
    <t xml:space="preserve">MONEEN PRETORIA </t>
  </si>
  <si>
    <t xml:space="preserve">BOVA </t>
  </si>
  <si>
    <t xml:space="preserve">(IG) LAURAGH EVERT </t>
  </si>
  <si>
    <t xml:space="preserve">GREENMILE NGAURUHOE F10J6 </t>
  </si>
  <si>
    <t xml:space="preserve">HOWSES SPRINGFIELD </t>
  </si>
  <si>
    <t xml:space="preserve">LIC BROOKLAWN M ECLIPSE </t>
  </si>
  <si>
    <t xml:space="preserve">EIK </t>
  </si>
  <si>
    <t xml:space="preserve">MEENASCORTHY GALTEE </t>
  </si>
  <si>
    <t xml:space="preserve">(IG) RONNOCO MILAN </t>
  </si>
  <si>
    <t xml:space="preserve">(IG) CULLINTRA YEATS SRM </t>
  </si>
  <si>
    <t xml:space="preserve">MONEEN RIO </t>
  </si>
  <si>
    <t xml:space="preserve">HORIZON BOULEVARD-ET </t>
  </si>
  <si>
    <t xml:space="preserve">Best 20% </t>
  </si>
  <si>
    <t xml:space="preserve">MORTENSENS WE AWE-ET S3F </t>
  </si>
  <si>
    <t xml:space="preserve">WALTON INFERNO </t>
  </si>
  <si>
    <t xml:space="preserve">(IG) NEXTGEN CAUSO </t>
  </si>
  <si>
    <t xml:space="preserve">LYNBROOK KARTELL </t>
  </si>
  <si>
    <t xml:space="preserve">SCHRADERS TUSK </t>
  </si>
  <si>
    <t xml:space="preserve">DOVEA BERGIN </t>
  </si>
  <si>
    <t xml:space="preserve">(IG) CLOSH JAYWALK SRM </t>
  </si>
  <si>
    <t xml:space="preserve">ARKANS BEST BET </t>
  </si>
  <si>
    <t xml:space="preserve">(IG) OLDCASTLETON EARNEST </t>
  </si>
  <si>
    <t xml:space="preserve">BALLYMADDOCK LHZ TIMOTHY </t>
  </si>
  <si>
    <t xml:space="preserve">VH TIRSVAD FANATIC FUTURE </t>
  </si>
  <si>
    <t xml:space="preserve">(IG) BALLINTESKIN ARNOLD </t>
  </si>
  <si>
    <t xml:space="preserve">(IG)HILLTOWN FABLE SRM </t>
  </si>
  <si>
    <t xml:space="preserve">CORCOMOHIDE DART </t>
  </si>
  <si>
    <t xml:space="preserve">PROGENESIS MOOSE </t>
  </si>
  <si>
    <t xml:space="preserve">KAITAKA OI LEOPARD ET </t>
  </si>
  <si>
    <t xml:space="preserve">(IG) DEANSGROVE PEDRO SRM </t>
  </si>
  <si>
    <t xml:space="preserve">DERRINSALLOW MICK </t>
  </si>
  <si>
    <t xml:space="preserve">(IG)BEDFORDHILL CONOR SRM </t>
  </si>
  <si>
    <t xml:space="preserve">(IG) ARDKYLE MOUNT EVERET </t>
  </si>
  <si>
    <t xml:space="preserve">CILLWALSH WONDER </t>
  </si>
  <si>
    <t xml:space="preserve">TARAMONT HIGHTIDE </t>
  </si>
  <si>
    <t xml:space="preserve">KNOCKREAGH SEXTON SRM </t>
  </si>
  <si>
    <t xml:space="preserve">BRIDEPARK GRANDSLAM </t>
  </si>
  <si>
    <t xml:space="preserve">ROEN </t>
  </si>
  <si>
    <t xml:space="preserve">NR </t>
  </si>
  <si>
    <t xml:space="preserve">BALLINTOSIG REAL MC COY </t>
  </si>
  <si>
    <t xml:space="preserve">IG SUIRHERO AMATO </t>
  </si>
  <si>
    <t xml:space="preserve">SUTTONSRATH TIGER </t>
  </si>
  <si>
    <t xml:space="preserve">(IG)DOONMANAGH CHOPPER </t>
  </si>
  <si>
    <t xml:space="preserve">ROOVESMORE CALGARY </t>
  </si>
  <si>
    <t xml:space="preserve">(IG) NEXTGEN LEROY </t>
  </si>
  <si>
    <t xml:space="preserve">(IG) KILMANAGH RONALD </t>
  </si>
  <si>
    <t xml:space="preserve">ROOVESBRIDGE COPENHAGEN </t>
  </si>
  <si>
    <t xml:space="preserve">(IG) DERRYLAMOGUE VINCENT </t>
  </si>
  <si>
    <t xml:space="preserve">HAGGARD FRANKO </t>
  </si>
  <si>
    <t xml:space="preserve">CRAGANOIR LORENZO </t>
  </si>
  <si>
    <t xml:space="preserve">DOONMANAGH HMY MOSSY </t>
  </si>
  <si>
    <t xml:space="preserve">HEATHFIELD MONTREAL SRM </t>
  </si>
  <si>
    <t xml:space="preserve">BALLYBRIDE MELBOURNE </t>
  </si>
  <si>
    <t xml:space="preserve">(IG) CLOHANE LUCKY STRIKE </t>
  </si>
  <si>
    <t xml:space="preserve">KILLALOUGH CANDY CANE </t>
  </si>
  <si>
    <t xml:space="preserve">SAINTBRIGID FRANK JOSEPH </t>
  </si>
  <si>
    <t xml:space="preserve">CLOONACUSHA DELTA SRM </t>
  </si>
  <si>
    <t xml:space="preserve">ARDALLEN LARRY SRM </t>
  </si>
  <si>
    <t xml:space="preserve">Best 30% </t>
  </si>
  <si>
    <t xml:space="preserve">(IG) RATHONANE SAXON </t>
  </si>
  <si>
    <t xml:space="preserve">(IG)GREENHILLS PETER </t>
  </si>
  <si>
    <t xml:space="preserve">JUST ONCE COOPER </t>
  </si>
  <si>
    <t xml:space="preserve">COOLNACLEHY STAR </t>
  </si>
  <si>
    <t xml:space="preserve">CHERRYHILL DON 1981 </t>
  </si>
  <si>
    <t xml:space="preserve">(IG) CRAIGTOWN TORNADO </t>
  </si>
  <si>
    <t xml:space="preserve">BALLYBRIDE QUEBEC SRM </t>
  </si>
  <si>
    <t xml:space="preserve">(IG)PALLASKENRY PREMIER </t>
  </si>
  <si>
    <t xml:space="preserve">(IG) BALLYMAW KAUTO SRM </t>
  </si>
  <si>
    <t xml:space="preserve">LISNAKELLY CYCLONE </t>
  </si>
  <si>
    <t xml:space="preserve">(IG) BAXTERS NORTON SRM </t>
  </si>
  <si>
    <t xml:space="preserve">MONALEA PAULO </t>
  </si>
  <si>
    <t xml:space="preserve">(IG) NEXTGEN PACKMAN SRM </t>
  </si>
  <si>
    <t xml:space="preserve">(IG)LACKCASTLE BARTON </t>
  </si>
  <si>
    <t xml:space="preserve">(IG) MODELIGO LUKE </t>
  </si>
  <si>
    <t xml:space="preserve">LIC KILVOIGE AARON </t>
  </si>
  <si>
    <t xml:space="preserve">STONECARTHY GLEANNA </t>
  </si>
  <si>
    <t xml:space="preserve">(IG)DROUMREAGUE IBERNIA </t>
  </si>
  <si>
    <t xml:space="preserve">(IG) BRIDESTREAM HAROLD </t>
  </si>
  <si>
    <t xml:space="preserve">MEALLAGHMORE MIDNIGHT </t>
  </si>
  <si>
    <t xml:space="preserve">(IG) CRIEGHMORE CAMELOT SRM </t>
  </si>
  <si>
    <t xml:space="preserve">(IG)DOIRE SUNDANCE </t>
  </si>
  <si>
    <t xml:space="preserve">BALLYCAMPION LAURENCE </t>
  </si>
  <si>
    <t xml:space="preserve">MOONDIGUA METEORITE </t>
  </si>
  <si>
    <t xml:space="preserve">DE-SU HAGLEY 12144-ET </t>
  </si>
  <si>
    <t xml:space="preserve">WORLDWIDE SIRES </t>
  </si>
  <si>
    <t xml:space="preserve">(IG) CORBALLIS EARLY SRM </t>
  </si>
  <si>
    <t xml:space="preserve">(IG) SHANDANGAN CRYSTAL </t>
  </si>
  <si>
    <t xml:space="preserve">(IG) OAKGLEN COSMIC </t>
  </si>
  <si>
    <t xml:space="preserve">(IG)KNOCKENRIGHT CHESSMAN </t>
  </si>
  <si>
    <t xml:space="preserve">(IG)COMMEEN PHIL SRM </t>
  </si>
  <si>
    <t xml:space="preserve">(IG)MUNTA JACOB SRM </t>
  </si>
  <si>
    <t xml:space="preserve">(IG) KNOCKROUR ALIX </t>
  </si>
  <si>
    <t xml:space="preserve">(IG)BLACKBUSH GORYTUS SRM </t>
  </si>
  <si>
    <t xml:space="preserve">(IG)SKEHANAGH SERGIO </t>
  </si>
  <si>
    <t xml:space="preserve">VH NORLAND NADER </t>
  </si>
  <si>
    <t xml:space="preserve">(IG) FOWLERSTOWN MARINO </t>
  </si>
  <si>
    <t xml:space="preserve">CAWDOR SRB PELORUS </t>
  </si>
  <si>
    <t xml:space="preserve">KILMANAHAN GZY JOHNATHON </t>
  </si>
  <si>
    <t xml:space="preserve">(IG) CURRA BOSS </t>
  </si>
  <si>
    <t xml:space="preserve">(IG)RAGLAN OMEGA PROFIT </t>
  </si>
  <si>
    <t xml:space="preserve">(IG)STAMULLEN LUNASA SRM </t>
  </si>
  <si>
    <t xml:space="preserve">BALLYKINASH SAMUEL </t>
  </si>
  <si>
    <t xml:space="preserve">LOCHANDARRIG DYNAMO SRM </t>
  </si>
  <si>
    <t xml:space="preserve">GLEN KORU PROCLAIMER-ET </t>
  </si>
  <si>
    <t xml:space="preserve">EGGTROEN </t>
  </si>
  <si>
    <t xml:space="preserve">Best 40% </t>
  </si>
  <si>
    <t xml:space="preserve">(IG) MONAMORE RIPTIDE </t>
  </si>
  <si>
    <t xml:space="preserve">OLCASTLETOWN TURLOUGH </t>
  </si>
  <si>
    <t xml:space="preserve">(IG) MOUNTDUDLEY JOKER </t>
  </si>
  <si>
    <t xml:space="preserve">GLENABOY RONALD </t>
  </si>
  <si>
    <t xml:space="preserve">(IG) RATHLANNON ESMONDE SRM </t>
  </si>
  <si>
    <t xml:space="preserve">ARKANS GURKHA J9F7 </t>
  </si>
  <si>
    <t xml:space="preserve">MONEEN NAIROBI </t>
  </si>
  <si>
    <t xml:space="preserve">(IG) CARRACOUSH OBAMA </t>
  </si>
  <si>
    <t xml:space="preserve">BRACKHERD  SALVADOR </t>
  </si>
  <si>
    <t xml:space="preserve">MR SPRHERO TWISTER-ET </t>
  </si>
  <si>
    <t xml:space="preserve">(IG) GLENSTALL ROBBIE </t>
  </si>
  <si>
    <t xml:space="preserve">MEANDER ALADIESMAN-ET S1F </t>
  </si>
  <si>
    <t xml:space="preserve">(IG) HILLSDALE HEATHCLIFFE </t>
  </si>
  <si>
    <t xml:space="preserve">(IG) WATERWHEEL WINSTON </t>
  </si>
  <si>
    <t xml:space="preserve">(IG) CLOONEYBEAG EXCEED </t>
  </si>
  <si>
    <t xml:space="preserve">GLASNEVIN ETHAN </t>
  </si>
  <si>
    <t xml:space="preserve">CLOUNTY ERNEST </t>
  </si>
  <si>
    <t xml:space="preserve">LUCK-AT-LAST INSPIRED-ET </t>
  </si>
  <si>
    <t xml:space="preserve">SANDY-VALLEY-I PENMANSHIP </t>
  </si>
  <si>
    <t xml:space="preserve">(IG)FARNIVANEADH ARAMON SRM </t>
  </si>
  <si>
    <t xml:space="preserve">BADGER S-S-I CASTLE-ET </t>
  </si>
  <si>
    <t xml:space="preserve">SCORDUFF TITAN </t>
  </si>
  <si>
    <t xml:space="preserve">(IG) BRIDESTREAM LEVERET </t>
  </si>
  <si>
    <t xml:space="preserve">(IG)SMALLACRE ZANZA SRM </t>
  </si>
  <si>
    <t xml:space="preserve">PINE-TREE LAWSON LON-ET </t>
  </si>
  <si>
    <t xml:space="preserve">PEAK MR. GREY </t>
  </si>
  <si>
    <t xml:space="preserve">DOVEA DOOLEY </t>
  </si>
  <si>
    <t xml:space="preserve">OLCASTLETOWN TIERNAN </t>
  </si>
  <si>
    <t xml:space="preserve">GREYWOOD SUPREME SRM </t>
  </si>
  <si>
    <t xml:space="preserve">(IG)KILBALLY SUGARHILL SRM </t>
  </si>
  <si>
    <t xml:space="preserve">(IG)HILLTOWN WIDGET SRM </t>
  </si>
  <si>
    <t xml:space="preserve">FORTFERGUS ARTIC ORCA </t>
  </si>
  <si>
    <t xml:space="preserve">CURRA SALAH SRM </t>
  </si>
  <si>
    <t xml:space="preserve">JEANJO ALEX 6166 </t>
  </si>
  <si>
    <t xml:space="preserve">(IG) CULLINTRA DYLAN </t>
  </si>
  <si>
    <t xml:space="preserve">(IG)COOLNASOON DAWN </t>
  </si>
  <si>
    <t xml:space="preserve">(IG) FINNVALLEY KASPER </t>
  </si>
  <si>
    <t xml:space="preserve">(IG) BRIDESTREAM LATROBE </t>
  </si>
  <si>
    <t xml:space="preserve">DICKSONS BG MANDATE S1F </t>
  </si>
  <si>
    <t xml:space="preserve">KILTESKIN 007 SRM </t>
  </si>
  <si>
    <t xml:space="preserve">(IG) CAVERELY ROCKY </t>
  </si>
  <si>
    <t xml:space="preserve">CLONDROHID BLACK LIGHTNING </t>
  </si>
  <si>
    <t xml:space="preserve">DROUMNACARA LILY DYLAN SRM </t>
  </si>
  <si>
    <t xml:space="preserve">BREANSHAMORE ALLIE SRM </t>
  </si>
  <si>
    <t xml:space="preserve">OLCASTLETOWN PHOENIX 1849 </t>
  </si>
  <si>
    <t xml:space="preserve">Average </t>
  </si>
  <si>
    <t xml:space="preserve">(IG) PARKDUV MOUNT EVEREST </t>
  </si>
  <si>
    <t xml:space="preserve">(IG) TIRNAHILLA HENRY </t>
  </si>
  <si>
    <t xml:space="preserve">S-S-I MODESTY MAGICTOUCH-ET </t>
  </si>
  <si>
    <t xml:space="preserve">KILLALOUGH SAMIR </t>
  </si>
  <si>
    <t xml:space="preserve">ANCRANNFEA NEXTGEN DESIREE SRM </t>
  </si>
  <si>
    <t xml:space="preserve">(IG)OAKFARM BEHINS APOLLO </t>
  </si>
  <si>
    <t xml:space="preserve">HOWIES EASYRIDER </t>
  </si>
  <si>
    <t xml:space="preserve">COOKSTOWN BUDDY </t>
  </si>
  <si>
    <t xml:space="preserve">THREERIVERS ORCA </t>
  </si>
  <si>
    <t xml:space="preserve">BALLINABOY RONALD 874 </t>
  </si>
  <si>
    <t xml:space="preserve">LASHS MS LEGION S1F </t>
  </si>
  <si>
    <t xml:space="preserve">COOLNASOON ART </t>
  </si>
  <si>
    <t xml:space="preserve">(IG) KNOCKDOE JACK </t>
  </si>
  <si>
    <t xml:space="preserve">(IG) ARDRAGOLD TURING SRM </t>
  </si>
  <si>
    <t xml:space="preserve">LIC MOOREHILL GALAXY </t>
  </si>
  <si>
    <t xml:space="preserve">(IG) MONABROGUE EBONY </t>
  </si>
  <si>
    <t xml:space="preserve">(IG)GHARBHCHOILL FISHER SRM </t>
  </si>
  <si>
    <t xml:space="preserve">KILRONAN HIGH </t>
  </si>
  <si>
    <t xml:space="preserve">ST GEN DIRECTOR CHAIRMAN-ET </t>
  </si>
  <si>
    <t xml:space="preserve">BAWNGARRA BRÓD </t>
  </si>
  <si>
    <t xml:space="preserve">COGENT PEAK ALEX </t>
  </si>
  <si>
    <t xml:space="preserve">(IG)LAKEMARSH ALBERTO </t>
  </si>
  <si>
    <t xml:space="preserve">LIC AHABEG DEFENDER </t>
  </si>
  <si>
    <t xml:space="preserve">(IG) MOGEHA ULTAN </t>
  </si>
  <si>
    <t xml:space="preserve">(IG) WHITEWOOD RUDDY </t>
  </si>
  <si>
    <t xml:space="preserve">SCARTFLESK RONALD </t>
  </si>
  <si>
    <t xml:space="preserve">SHEANMORE MASTER SRM </t>
  </si>
  <si>
    <t xml:space="preserve">TULLERSTOWN PODGE </t>
  </si>
  <si>
    <t xml:space="preserve">DE-SU HUBBARD 12290-ET </t>
  </si>
  <si>
    <t xml:space="preserve">(IG) BALLYMADDOCK MAGIC </t>
  </si>
  <si>
    <t xml:space="preserve">BELLAIR ANTON SRM </t>
  </si>
  <si>
    <t xml:space="preserve">(IG)PARKDUV ANDES </t>
  </si>
  <si>
    <t xml:space="preserve">VELVETSTOWN KARLSTAD SRM </t>
  </si>
  <si>
    <t xml:space="preserve">(IG)RICHVALE GRAJO </t>
  </si>
  <si>
    <t xml:space="preserve">LISTANNA GEORGIE </t>
  </si>
  <si>
    <t xml:space="preserve">(IG) CLORANE DANDYMAN </t>
  </si>
  <si>
    <t xml:space="preserve">TINNAKILL NAVIGATOR </t>
  </si>
  <si>
    <t xml:space="preserve">(IG)LOUNIHAN MERLOT </t>
  </si>
  <si>
    <t xml:space="preserve">RIVERHEIGHTS GB ROGUE S3F </t>
  </si>
  <si>
    <t xml:space="preserve">ARDALLEN FERGUS </t>
  </si>
  <si>
    <t xml:space="preserve">CLOCHRUA RANDY LEVI </t>
  </si>
  <si>
    <t xml:space="preserve">GALSTON DR LUKE SRM </t>
  </si>
  <si>
    <t xml:space="preserve">(IG) STAMULLEN TUDOR SRM </t>
  </si>
  <si>
    <t xml:space="preserve">FOGARTY HILTON </t>
  </si>
  <si>
    <t xml:space="preserve">CILLWALSH ANDREW </t>
  </si>
  <si>
    <t xml:space="preserve">MB AMAX RDC </t>
  </si>
  <si>
    <t xml:space="preserve">(IG)COOLBEHA BATTASH </t>
  </si>
  <si>
    <t xml:space="preserve">ABS JERONIMO-P-ET </t>
  </si>
  <si>
    <t xml:space="preserve">AGHERNBRIDGE BOXER SRM </t>
  </si>
  <si>
    <t xml:space="preserve">(IG) BELLVIEW FLASH </t>
  </si>
  <si>
    <t xml:space="preserve">(IG)BAURAVILLA PISTOL SRM </t>
  </si>
  <si>
    <t xml:space="preserve">TISAXON DIAMOND SRM </t>
  </si>
  <si>
    <t xml:space="preserve">BALLYDUNNE OLAF </t>
  </si>
  <si>
    <t xml:space="preserve">IG MUINEMOR HUBER </t>
  </si>
  <si>
    <t xml:space="preserve">(IG) KERAUN MICK </t>
  </si>
  <si>
    <t xml:space="preserve">(IG)CAPPASOUTH VALET </t>
  </si>
  <si>
    <t xml:space="preserve">SITJE </t>
  </si>
  <si>
    <t xml:space="preserve">BALLYDUGAN TORONTO SRM </t>
  </si>
  <si>
    <t xml:space="preserve">HILLSDALE MO SALAH </t>
  </si>
  <si>
    <t xml:space="preserve">CASTLEBLAGH RUTHLESS </t>
  </si>
  <si>
    <t xml:space="preserve">MOONDIGUA CONOR SRM </t>
  </si>
  <si>
    <t xml:space="preserve">WESTCOAST YAMASKA </t>
  </si>
  <si>
    <t xml:space="preserve">COOLNASOON DIAMOND NUA SRM </t>
  </si>
  <si>
    <t xml:space="preserve">BADGER S-S-I CURRY SPORT-ET </t>
  </si>
  <si>
    <t xml:space="preserve">(IG)CRUACH VALEGRO SRM </t>
  </si>
  <si>
    <t xml:space="preserve">CO-OP AARDEMA BERRY BLAK-ET </t>
  </si>
  <si>
    <t xml:space="preserve">BALLINARD COMPONENTS </t>
  </si>
  <si>
    <t xml:space="preserve">(IG)BLACKNEY WINDRUSH SRM </t>
  </si>
  <si>
    <t xml:space="preserve">GOINGS MECCA PRIDE S1F </t>
  </si>
  <si>
    <t xml:space="preserve">DERRINSALLOW ANN 013 DARREN </t>
  </si>
  <si>
    <t xml:space="preserve">(IG) CARRIGAUN GLEN </t>
  </si>
  <si>
    <t xml:space="preserve">LIC MOOREHILL MAX </t>
  </si>
  <si>
    <t xml:space="preserve">OCD FRANCHISE RIO-ET </t>
  </si>
  <si>
    <t xml:space="preserve">BRACKHERD OSLO SRM </t>
  </si>
  <si>
    <t xml:space="preserve">BALLYBRIDE BOSTON </t>
  </si>
  <si>
    <t xml:space="preserve">BALLYMITTY HERO SRM </t>
  </si>
  <si>
    <t xml:space="preserve">(IG)SPRINGHAVEN CHALLENGE SRM </t>
  </si>
  <si>
    <t xml:space="preserve">(IG) DEANSGROVE VIRGIL SRM </t>
  </si>
  <si>
    <t xml:space="preserve">BRACKHERD PANAMA SRM </t>
  </si>
  <si>
    <t xml:space="preserve">(IG)ARDROW WILDING SRM </t>
  </si>
  <si>
    <t xml:space="preserve">(IG)DEANSGROVE GOMEZ SRM </t>
  </si>
  <si>
    <t xml:space="preserve">(IG)SEAFORT EAGLE </t>
  </si>
  <si>
    <t xml:space="preserve">HOANSTER ZANZIBAR </t>
  </si>
  <si>
    <t xml:space="preserve">CRAIGTOWN STORM </t>
  </si>
  <si>
    <t xml:space="preserve">CHARLTONS FI FINALCUT S2F </t>
  </si>
  <si>
    <t xml:space="preserve">(IG) PALLASKENRY ARCO SRM </t>
  </si>
  <si>
    <t xml:space="preserve">(IG) OLCASTLETOWN PICASSO </t>
  </si>
  <si>
    <t xml:space="preserve">(IG)MONAMORE VESTA </t>
  </si>
  <si>
    <t xml:space="preserve">RIVERSIDE PIVOTAL 874 SRM </t>
  </si>
  <si>
    <t xml:space="preserve">Worst 40% </t>
  </si>
  <si>
    <t xml:space="preserve">(IG)CURRA CLASS </t>
  </si>
  <si>
    <t xml:space="preserve">JEANJO ABSOLUTE </t>
  </si>
  <si>
    <t xml:space="preserve">(IG) BALLYGOWN ALBERT </t>
  </si>
  <si>
    <t xml:space="preserve">(IG) BALLYMADDOCK HEYWOOD </t>
  </si>
  <si>
    <t xml:space="preserve">(IG) GHARBHCHOILL KODAK </t>
  </si>
  <si>
    <t xml:space="preserve">(IG) BALLINGEAR SUZUKI </t>
  </si>
  <si>
    <t xml:space="preserve">(IG) VIADUCTVIEW FIVEO </t>
  </si>
  <si>
    <t xml:space="preserve">MUNTA MYSTIC </t>
  </si>
  <si>
    <t xml:space="preserve">CURRA SAMPSON </t>
  </si>
  <si>
    <t xml:space="preserve">COGENT SUPERSHOT </t>
  </si>
  <si>
    <t xml:space="preserve">BAGWORTH PF GRANDEUR S1F </t>
  </si>
  <si>
    <t xml:space="preserve">SPRINGHAVEN ROMEO SRM </t>
  </si>
  <si>
    <t xml:space="preserve">(IG) KIPPANE MALDINI SRM </t>
  </si>
  <si>
    <t xml:space="preserve">TOUREEN TUAIRIN TIM </t>
  </si>
  <si>
    <t xml:space="preserve">(IG)BEDFORDHILL TIPPLE </t>
  </si>
  <si>
    <t xml:space="preserve">VH SUAREZ SPARKY </t>
  </si>
  <si>
    <t xml:space="preserve">GORTCREEN SEBASTAIN </t>
  </si>
  <si>
    <t xml:space="preserve">BALLYBRIDE TRIPOLI </t>
  </si>
  <si>
    <t xml:space="preserve">OLCASTLETOWN ROMEO </t>
  </si>
  <si>
    <t xml:space="preserve">LARS-ACRES SUPER NERD-ET </t>
  </si>
  <si>
    <t xml:space="preserve">BROWNEY  LISNA </t>
  </si>
  <si>
    <t xml:space="preserve">(IG) AHAFORE FRANKO </t>
  </si>
  <si>
    <t xml:space="preserve">BALLINTOSIG DELL BOY </t>
  </si>
  <si>
    <t xml:space="preserve">(IG)BALLYGLASSIN LIBERTY </t>
  </si>
  <si>
    <t xml:space="preserve">DENOVO 15551 SUBLIME-ET </t>
  </si>
  <si>
    <t xml:space="preserve">KYLETELOGUE NORRIS </t>
  </si>
  <si>
    <t xml:space="preserve">CILLWALSH ALBERT </t>
  </si>
  <si>
    <t xml:space="preserve">(IG) BARNEYHILL DUKE </t>
  </si>
  <si>
    <t xml:space="preserve">(IG) RANDALLSMILL STOREY SRM </t>
  </si>
  <si>
    <t xml:space="preserve">LIC COOLHULL DALY </t>
  </si>
  <si>
    <t xml:space="preserve">CURRA CAPTAIN SRM </t>
  </si>
  <si>
    <t xml:space="preserve">(IG) FOWLERSTOWN CONTI </t>
  </si>
  <si>
    <t xml:space="preserve">(IG)SHANVALLEY BEETHOVEN </t>
  </si>
  <si>
    <t xml:space="preserve">(IG)DEANSGROVE SADIO SRM </t>
  </si>
  <si>
    <t xml:space="preserve">KILLAVALLA JETHRO SRM </t>
  </si>
  <si>
    <t xml:space="preserve">DECOURCEY ROVER SRM </t>
  </si>
  <si>
    <t xml:space="preserve">WEGGELHORSTER DISCLOSURE </t>
  </si>
  <si>
    <t xml:space="preserve">CULLOHILL ALBERT </t>
  </si>
  <si>
    <t xml:space="preserve">IG COOLNASOON ALAMO </t>
  </si>
  <si>
    <t xml:space="preserve">PREHEN LANCASTER ET </t>
  </si>
  <si>
    <t xml:space="preserve">BALLYCONNICK TOUCH SRM </t>
  </si>
  <si>
    <t xml:space="preserve">POSSEXTOWN FAITHFUL SRM </t>
  </si>
  <si>
    <t xml:space="preserve">PEAK ACCELROYALTY-ET </t>
  </si>
  <si>
    <t xml:space="preserve">LEMONSTOWN RELIABLE </t>
  </si>
  <si>
    <t xml:space="preserve">RIVERSIDE HAROLD SRM </t>
  </si>
  <si>
    <t xml:space="preserve">Worst 30% </t>
  </si>
  <si>
    <t xml:space="preserve">BAWNAHOW RODNEY </t>
  </si>
  <si>
    <t xml:space="preserve">SCORDUFF NEART </t>
  </si>
  <si>
    <t xml:space="preserve">(IG)KILFEACLE DANZIG </t>
  </si>
  <si>
    <t xml:space="preserve">LIC KILVOIGE STEPHEN </t>
  </si>
  <si>
    <t xml:space="preserve">(IG) CARRAIGBUI  STRADA SRM </t>
  </si>
  <si>
    <t xml:space="preserve">(IG) LEACHTNEILL DARBY </t>
  </si>
  <si>
    <t xml:space="preserve">CRAGANOIR VINCENZO </t>
  </si>
  <si>
    <t xml:space="preserve">GORTCREEN VAN DIJK </t>
  </si>
  <si>
    <t xml:space="preserve">(IG)SKEAF GLITTER </t>
  </si>
  <si>
    <t xml:space="preserve">ASHDALE FM KELSBELLS S1F </t>
  </si>
  <si>
    <t xml:space="preserve">BALLYBRIDE NEWCASTLE </t>
  </si>
  <si>
    <t xml:space="preserve">BERGINSVIEW PANTHER </t>
  </si>
  <si>
    <t xml:space="preserve">VH PRASER </t>
  </si>
  <si>
    <t xml:space="preserve">GROMAN DIAMOND SRM </t>
  </si>
  <si>
    <t xml:space="preserve">TANGLEWOOD MT KAURI S2F </t>
  </si>
  <si>
    <t xml:space="preserve">(IG) DIAMOND ANTON </t>
  </si>
  <si>
    <t xml:space="preserve">BALLYKILROE ANTON SRM </t>
  </si>
  <si>
    <t xml:space="preserve">LANGEVELDS SRB VALOUR S2F </t>
  </si>
  <si>
    <t xml:space="preserve">BALLYOUNEEN  CASTLE SRM </t>
  </si>
  <si>
    <t xml:space="preserve">S-S-I HEADWAY ALLTIME-ET </t>
  </si>
  <si>
    <t xml:space="preserve">KILCORAN CHEESEMAKER </t>
  </si>
  <si>
    <t xml:space="preserve">CULLOHILL SAMIR SRM </t>
  </si>
  <si>
    <t xml:space="preserve">(IG) OAKGLEN HARRY </t>
  </si>
  <si>
    <t xml:space="preserve">(IG) CAHERAGH MAYSON </t>
  </si>
  <si>
    <t xml:space="preserve">(IG) BEECHGROVE ANDREW </t>
  </si>
  <si>
    <t xml:space="preserve">(IG)TISAXON TROOPER </t>
  </si>
  <si>
    <t xml:space="preserve">(IG) BOPURU TEMPLATE </t>
  </si>
  <si>
    <t xml:space="preserve">DOVEA FLANNERY </t>
  </si>
  <si>
    <t xml:space="preserve">PEAK CHILTON-ET </t>
  </si>
  <si>
    <t xml:space="preserve">(IG)VICISLAND SUPERSEED SRM </t>
  </si>
  <si>
    <t xml:space="preserve">(IG)OAKFARM BEHINS ZEUS </t>
  </si>
  <si>
    <t xml:space="preserve">CLOONACUSHA TIM SRM </t>
  </si>
  <si>
    <t xml:space="preserve">DOVEA DOORLEY </t>
  </si>
  <si>
    <t xml:space="preserve">PEAK MOTION-ET </t>
  </si>
  <si>
    <t xml:space="preserve">(IG) OLCASTLETOWN RONALDO </t>
  </si>
  <si>
    <t xml:space="preserve">(IG) DOONMANAGH SEVILLE </t>
  </si>
  <si>
    <t xml:space="preserve">WESTCOAST PERSEUS </t>
  </si>
  <si>
    <t xml:space="preserve">PROGENESIS METHOD </t>
  </si>
  <si>
    <t xml:space="preserve">(IG) BALLYMAW BEAR SRM </t>
  </si>
  <si>
    <t xml:space="preserve">(IG) CREFOGUE SPIDER </t>
  </si>
  <si>
    <t xml:space="preserve">IHG MONTANA-ET </t>
  </si>
  <si>
    <t xml:space="preserve">BALLYGOWN YRY BOYCIE </t>
  </si>
  <si>
    <t xml:space="preserve">RAMP THUNDER </t>
  </si>
  <si>
    <t xml:space="preserve">FOGARTY TAZSER </t>
  </si>
  <si>
    <t xml:space="preserve">(IG)DERRINSALLOW UNACK </t>
  </si>
  <si>
    <t xml:space="preserve">Worst 20% </t>
  </si>
  <si>
    <t xml:space="preserve">BALLINABORTA GLASGOW </t>
  </si>
  <si>
    <t xml:space="preserve">BALLYGOWN DENZEL </t>
  </si>
  <si>
    <t xml:space="preserve">(IG)DUNKELLY JANGO SRM </t>
  </si>
  <si>
    <t xml:space="preserve">SCARTFLESK JOHN </t>
  </si>
  <si>
    <t xml:space="preserve">(IG) BALLYDOOGAN TEMPLE </t>
  </si>
  <si>
    <t xml:space="preserve">EDG DELTA-B52-ET </t>
  </si>
  <si>
    <t xml:space="preserve">MELARRY RESOLVE TRY ME-ET </t>
  </si>
  <si>
    <t xml:space="preserve">BO-IRISH MRICE CARLINO-ET </t>
  </si>
  <si>
    <t xml:space="preserve">(IG) OAKWOOD LOMO SRM </t>
  </si>
  <si>
    <t xml:space="preserve">(IG)CAHERGRAM SPELLMAN SRM </t>
  </si>
  <si>
    <t xml:space="preserve">BROWNEY BARNA SRM </t>
  </si>
  <si>
    <t xml:space="preserve">(IG) COOLNASOON DIFF </t>
  </si>
  <si>
    <t xml:space="preserve">DELTA BUILDER P </t>
  </si>
  <si>
    <t xml:space="preserve">(IG)STAMULLEN MOZART SRM </t>
  </si>
  <si>
    <t xml:space="preserve">BOMAZ KETTLE-ET </t>
  </si>
  <si>
    <t xml:space="preserve">(IG) BALLYMAW NOVA SRM </t>
  </si>
  <si>
    <t xml:space="preserve">COOLEWEST THADY SRM </t>
  </si>
  <si>
    <t xml:space="preserve">(IG) STONEPARK SERGI SRM </t>
  </si>
  <si>
    <t xml:space="preserve">MONEEN MIAMI </t>
  </si>
  <si>
    <t xml:space="preserve">STANTONS MOST WANTED-ET </t>
  </si>
  <si>
    <t xml:space="preserve">(IG)DROUMREAGUE SELIM </t>
  </si>
  <si>
    <t xml:space="preserve">GARRENDENNY LEWIS SRM </t>
  </si>
  <si>
    <t xml:space="preserve">(IG) LEACHTNEILL DOLMAN SRM </t>
  </si>
  <si>
    <t xml:space="preserve">(IG)TOWNROCHE TURBO </t>
  </si>
  <si>
    <t xml:space="preserve">HANRAHAN OLYMPUS </t>
  </si>
  <si>
    <t xml:space="preserve">CURRA ROYAL STEVIE </t>
  </si>
  <si>
    <t xml:space="preserve">JEANJO ART </t>
  </si>
  <si>
    <t xml:space="preserve">IG OAKGLEN SCORPION </t>
  </si>
  <si>
    <t xml:space="preserve">WILTOR PORTER </t>
  </si>
  <si>
    <t xml:space="preserve">NEXTGEN GALWAY </t>
  </si>
  <si>
    <t xml:space="preserve">FLY-HIGHER MOD CADE-ET </t>
  </si>
  <si>
    <t xml:space="preserve">KOEPON RAPTOR </t>
  </si>
  <si>
    <t xml:space="preserve">(IG) CORNASLIEVE VIRGINIA </t>
  </si>
  <si>
    <t xml:space="preserve">(IG)BALLYCARNEY DENMAN </t>
  </si>
  <si>
    <t xml:space="preserve">BEECHNUT DOVEA </t>
  </si>
  <si>
    <t xml:space="preserve">CURRAGHACNAV DIAMOND ODIE SRM </t>
  </si>
  <si>
    <t xml:space="preserve">PINE-TREE LAWSON LARRY-ET </t>
  </si>
  <si>
    <t xml:space="preserve">(IG) TISAXON ELMO </t>
  </si>
  <si>
    <t xml:space="preserve">KILDARRA MAJOR </t>
  </si>
  <si>
    <t xml:space="preserve">BAWNAHOW FERDINAND </t>
  </si>
  <si>
    <t xml:space="preserve">(IG) CRIEGHMORE LAROCHE SRM </t>
  </si>
  <si>
    <t xml:space="preserve">(IG)COMMEEN TRIMBO SRM </t>
  </si>
  <si>
    <t xml:space="preserve">ZINKS GFB BACHELOR-ET S1F </t>
  </si>
  <si>
    <t xml:space="preserve">PROGENESIS STOXXINDEX </t>
  </si>
  <si>
    <t xml:space="preserve">BALLYBRIDE MANCHESTER </t>
  </si>
  <si>
    <t xml:space="preserve">Worst 10% </t>
  </si>
  <si>
    <t xml:space="preserve">(IG) ROSSBARRY NELSON SRM </t>
  </si>
  <si>
    <t xml:space="preserve">SPRING TRALEE BASS-ET S2F </t>
  </si>
  <si>
    <t xml:space="preserve">(IG)BALLINROE XAAR </t>
  </si>
  <si>
    <t xml:space="preserve">(IG) MOOREPARK LARRY </t>
  </si>
  <si>
    <t xml:space="preserve">(IG) HIGHMOUNT STARK </t>
  </si>
  <si>
    <t xml:space="preserve">(IG) SPRINGHAVEN SUPREME </t>
  </si>
  <si>
    <t xml:space="preserve">(IG)BRANDY ARIZONA SRM </t>
  </si>
  <si>
    <t xml:space="preserve">SPRINGHAVEN WIZARD </t>
  </si>
  <si>
    <t xml:space="preserve">(IG)KNOCKREAGH GATSBY SRM </t>
  </si>
  <si>
    <t xml:space="preserve">(IG)GORTNAHANEBO APACHE </t>
  </si>
  <si>
    <t xml:space="preserve">VELDER STARMAKER </t>
  </si>
  <si>
    <t xml:space="preserve">DENOVO 2800 PRINCE-ET </t>
  </si>
  <si>
    <t xml:space="preserve">(IG) WATERWHEEL TAURUS </t>
  </si>
  <si>
    <t xml:space="preserve">(IG) SPRINGHAVEN NUA </t>
  </si>
  <si>
    <t xml:space="preserve">ARKAN MGH BACKDROP-ET S2F </t>
  </si>
  <si>
    <t xml:space="preserve">(IG) GABRIEL ZORO </t>
  </si>
  <si>
    <t xml:space="preserve">(IG) RHINCRUE SUPER DANO 12 </t>
  </si>
  <si>
    <t xml:space="preserve">MITCHELLS KE HUSTLER S2F </t>
  </si>
  <si>
    <t xml:space="preserve">(IG) KNOCKCAIS TOSSY </t>
  </si>
  <si>
    <t xml:space="preserve">(IG) HILLSDALE HARTY </t>
  </si>
  <si>
    <t xml:space="preserve">(IG)STAMULLEN SANTINI SRM </t>
  </si>
  <si>
    <t xml:space="preserve">PROGENESIS REG </t>
  </si>
  <si>
    <t xml:space="preserve">Worst 5% </t>
  </si>
  <si>
    <t xml:space="preserve">BRIDEPARK MAGIC 0984 SRM </t>
  </si>
  <si>
    <t xml:space="preserve">(IG) DEANSGROVE POTZEL </t>
  </si>
  <si>
    <t xml:space="preserve">(IG) KEALFINCHEON NORMAN </t>
  </si>
  <si>
    <t xml:space="preserve">(IG) BALLAGH PRINCE SPICE </t>
  </si>
  <si>
    <t xml:space="preserve">LEHENA TERRY </t>
  </si>
  <si>
    <t xml:space="preserve">(IG) MODELIGO WHISPER </t>
  </si>
  <si>
    <t xml:space="preserve">(IG)LISDUFF PERCEPTION </t>
  </si>
  <si>
    <t xml:space="preserve">DOLLSTURN JIMBOB SRM </t>
  </si>
  <si>
    <t xml:space="preserve">BRIDEVIEW SUPER BELL </t>
  </si>
  <si>
    <t xml:space="preserve">(IG) KILFEACLE PIVOTAL </t>
  </si>
  <si>
    <t xml:space="preserve">VH BALISTO BROOK </t>
  </si>
  <si>
    <t xml:space="preserve">(IG)GHARBHCHOILL MERLIN SRM </t>
  </si>
  <si>
    <t xml:space="preserve">WATERPARK HECTOR </t>
  </si>
  <si>
    <t xml:space="preserve">AGHERNBRIDGE PAMPLET </t>
  </si>
  <si>
    <t xml:space="preserve">KILDARRA MAESTRO </t>
  </si>
  <si>
    <t xml:space="preserve">(IG) FOXVIEW BOND </t>
  </si>
  <si>
    <t xml:space="preserve">(IG) LONGVIEW RELIABLE </t>
  </si>
  <si>
    <t xml:space="preserve">CASTLEPOLARD WHATS APP </t>
  </si>
  <si>
    <t xml:space="preserve">Worst 1% </t>
  </si>
  <si>
    <t xml:space="preserve">(IG) MODELIGO GRAND MAN </t>
  </si>
  <si>
    <t xml:space="preserve">CURRA FIONN </t>
  </si>
  <si>
    <t xml:space="preserve">(IG) TISAXON VIEWER </t>
  </si>
  <si>
    <t xml:space="preserve">RONNOCO VIEW </t>
  </si>
  <si>
    <t>ICBF Bull List Ranked on Predicted Prevalence of Liver Fluke for Active Dairy AI Bulls with an EBI &gt;= €200</t>
  </si>
  <si>
    <t>Liver Fluke proofs are provided for AI bulls that are either genotyped or have at least 20 progeny records</t>
  </si>
  <si>
    <t># Rating is Based on Active Dairy AI Bulls with an EBI &gt;= €200</t>
  </si>
  <si>
    <t>©ICBF2020. For more information please call 0238820452 or log onto www.icbf.com</t>
  </si>
  <si>
    <t>Date of Evaluation: 23Mar21. Evaluation Valid Until: 25May21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</si>
</sst>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5" borderId="12" xfId="0" applyFont="1" applyFill="1" applyBorder="1" applyAlignment="1">
      <alignment horizontal="centerContinuous" vertical="center" wrapText="1"/>
    </xf>
    <xf numFmtId="0" fontId="2" fillId="6" borderId="5" xfId="0" applyFont="1" applyFill="1" applyBorder="1" applyAlignment="1">
      <alignment horizontal="centerContinuous" vertical="center" wrapText="1"/>
    </xf>
    <xf numFmtId="0" fontId="4" fillId="6" borderId="1" xfId="0" applyFont="1" applyFill="1" applyBorder="1" applyAlignment="1">
      <alignment horizontal="centerContinuous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Continuous" vertical="center" wrapText="1"/>
    </xf>
    <xf numFmtId="0" fontId="2" fillId="6" borderId="7" xfId="0" applyFont="1" applyFill="1" applyBorder="1" applyAlignment="1">
      <alignment horizontal="centerContinuous" vertical="center" wrapText="1"/>
    </xf>
    <xf numFmtId="0" fontId="4" fillId="6" borderId="8" xfId="0" applyFont="1" applyFill="1" applyBorder="1" applyAlignment="1">
      <alignment horizontal="centerContinuous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Continuous" vertical="center" wrapText="1"/>
    </xf>
    <xf numFmtId="6" fontId="2" fillId="7" borderId="2" xfId="0" applyNumberFormat="1" applyFont="1" applyFill="1" applyBorder="1" applyAlignment="1">
      <alignment horizontal="centerContinuous" vertical="center" wrapText="1"/>
    </xf>
    <xf numFmtId="9" fontId="2" fillId="7" borderId="4" xfId="0" applyNumberFormat="1" applyFont="1" applyFill="1" applyBorder="1" applyAlignment="1">
      <alignment horizontal="centerContinuous" vertical="center" wrapText="1"/>
    </xf>
    <xf numFmtId="6" fontId="2" fillId="7" borderId="5" xfId="0" applyNumberFormat="1" applyFont="1" applyFill="1" applyBorder="1" applyAlignment="1">
      <alignment horizontal="centerContinuous" vertical="center" wrapText="1"/>
    </xf>
    <xf numFmtId="9" fontId="2" fillId="7" borderId="6" xfId="0" applyNumberFormat="1" applyFont="1" applyFill="1" applyBorder="1" applyAlignment="1">
      <alignment horizontal="centerContinuous" vertical="center" wrapText="1"/>
    </xf>
    <xf numFmtId="6" fontId="2" fillId="7" borderId="7" xfId="0" applyNumberFormat="1" applyFont="1" applyFill="1" applyBorder="1" applyAlignment="1">
      <alignment horizontal="centerContinuous" vertical="center" wrapText="1"/>
    </xf>
    <xf numFmtId="9" fontId="2" fillId="7" borderId="9" xfId="0" applyNumberFormat="1" applyFont="1" applyFill="1" applyBorder="1" applyAlignment="1">
      <alignment horizontal="centerContinuous" vertical="center" wrapText="1"/>
    </xf>
    <xf numFmtId="0" fontId="2" fillId="8" borderId="1" xfId="0" applyFont="1" applyFill="1" applyBorder="1" applyAlignment="1">
      <alignment horizontal="centerContinuous" vertical="center" wrapText="1"/>
    </xf>
    <xf numFmtId="10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8" xfId="0" applyFont="1" applyFill="1" applyBorder="1" applyAlignment="1">
      <alignment horizontal="centerContinuous" vertical="center" wrapText="1"/>
    </xf>
    <xf numFmtId="9" fontId="2" fillId="8" borderId="8" xfId="0" applyNumberFormat="1" applyFont="1" applyFill="1" applyBorder="1" applyAlignment="1">
      <alignment horizontal="centerContinuous" vertical="center" wrapText="1"/>
    </xf>
    <xf numFmtId="10" fontId="2" fillId="8" borderId="8" xfId="0" applyNumberFormat="1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9" fontId="3" fillId="9" borderId="3" xfId="0" applyNumberFormat="1" applyFont="1" applyFill="1" applyBorder="1" applyAlignment="1">
      <alignment horizontal="centerContinuous" vertical="center" wrapText="1"/>
    </xf>
    <xf numFmtId="9" fontId="3" fillId="9" borderId="4" xfId="0" applyNumberFormat="1" applyFont="1" applyFill="1" applyBorder="1" applyAlignment="1">
      <alignment horizontal="centerContinuous" vertical="center" wrapText="1"/>
    </xf>
    <xf numFmtId="0" fontId="3" fillId="9" borderId="5" xfId="0" applyFont="1" applyFill="1" applyBorder="1" applyAlignment="1">
      <alignment horizontal="centerContinuous" vertical="center" wrapText="1"/>
    </xf>
    <xf numFmtId="9" fontId="3" fillId="9" borderId="1" xfId="0" applyNumberFormat="1" applyFont="1" applyFill="1" applyBorder="1" applyAlignment="1">
      <alignment horizontal="centerContinuous" vertical="center" wrapText="1"/>
    </xf>
    <xf numFmtId="9" fontId="3" fillId="9" borderId="6" xfId="0" applyNumberFormat="1" applyFont="1" applyFill="1" applyBorder="1" applyAlignment="1">
      <alignment horizontal="centerContinuous" vertical="center" wrapText="1"/>
    </xf>
    <xf numFmtId="0" fontId="3" fillId="10" borderId="5" xfId="0" applyFont="1" applyFill="1" applyBorder="1" applyAlignment="1">
      <alignment horizontal="centerContinuous" vertical="center" wrapText="1"/>
    </xf>
    <xf numFmtId="9" fontId="3" fillId="10" borderId="1" xfId="0" applyNumberFormat="1" applyFont="1" applyFill="1" applyBorder="1" applyAlignment="1">
      <alignment horizontal="centerContinuous" vertical="center" wrapText="1"/>
    </xf>
    <xf numFmtId="9" fontId="3" fillId="10" borderId="6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0" fontId="3" fillId="11" borderId="7" xfId="0" applyFont="1" applyFill="1" applyBorder="1" applyAlignment="1">
      <alignment horizontal="centerContinuous" vertical="center" wrapText="1"/>
    </xf>
    <xf numFmtId="9" fontId="3" fillId="11" borderId="8" xfId="0" applyNumberFormat="1" applyFont="1" applyFill="1" applyBorder="1" applyAlignment="1">
      <alignment horizontal="centerContinuous" vertical="center" wrapText="1"/>
    </xf>
    <xf numFmtId="9" fontId="3" fillId="11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142875</xdr:colOff>
      <xdr:row>4</xdr:row>
      <xdr:rowOff>117475</xdr:rowOff>
    </xdr:to>
    <xdr:pic>
      <xdr:nvPicPr>
        <xdr:cNvPr id="2" name="Picture 1" descr="\\ICBFWFILE\Data\Shared\Company\HerdPlus\Trademark\TB_LiverFluke\Fluke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4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14.4" x14ac:dyDescent="0.3"/>
  <cols>
    <col min="2" max="2" width="8.44140625" bestFit="1" customWidth="1"/>
    <col min="3" max="3" width="38.6640625" bestFit="1" customWidth="1"/>
    <col min="4" max="4" width="8.109375" bestFit="1" customWidth="1"/>
    <col min="5" max="5" width="19.33203125" bestFit="1" customWidth="1"/>
    <col min="6" max="6" width="12.33203125" bestFit="1" customWidth="1"/>
    <col min="7" max="7" width="18.88671875" bestFit="1" customWidth="1"/>
    <col min="8" max="8" width="26.33203125" bestFit="1" customWidth="1"/>
    <col min="9" max="9" width="20.6640625" bestFit="1" customWidth="1"/>
    <col min="10" max="10" width="23.6640625" bestFit="1" customWidth="1"/>
    <col min="11" max="11" width="26.88671875" bestFit="1" customWidth="1"/>
    <col min="12" max="12" width="24.109375" bestFit="1" customWidth="1"/>
    <col min="13" max="13" width="26.44140625" bestFit="1" customWidth="1"/>
    <col min="14" max="14" width="5.5546875" bestFit="1" customWidth="1"/>
  </cols>
  <sheetData>
    <row r="1" spans="1:16" ht="32.4" x14ac:dyDescent="0.6">
      <c r="A1" s="42" t="s">
        <v>487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44" customFormat="1" ht="19.8" x14ac:dyDescent="0.4">
      <c r="A2" s="43" t="s">
        <v>491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44" customFormat="1" ht="19.8" x14ac:dyDescent="0.4">
      <c r="A3" s="43" t="s">
        <v>488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44" customFormat="1" ht="19.8" x14ac:dyDescent="0.4">
      <c r="A4" s="43" t="s">
        <v>489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6" customFormat="1" ht="18" thickBot="1" x14ac:dyDescent="0.4">
      <c r="A5" s="45" t="s">
        <v>490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.600000000000001" thickBot="1" x14ac:dyDescent="0.3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6" t="s">
        <v>14</v>
      </c>
    </row>
    <row r="7" spans="1:16" ht="17.399999999999999" x14ac:dyDescent="0.3">
      <c r="A7" s="7">
        <v>1</v>
      </c>
      <c r="B7" s="8" t="str">
        <f>HYPERLINK("https://webapp.icbf.com/v2/app/bull-search/view/1276117523","JE4516")</f>
        <v>JE4516</v>
      </c>
      <c r="C7" s="9" t="s">
        <v>15</v>
      </c>
      <c r="D7" s="10" t="s">
        <v>16</v>
      </c>
      <c r="E7" s="10" t="s">
        <v>17</v>
      </c>
      <c r="F7" s="27" t="s">
        <v>18</v>
      </c>
      <c r="G7" s="28">
        <v>0.28999999999999998</v>
      </c>
      <c r="H7" s="29">
        <v>0.31</v>
      </c>
      <c r="I7" s="21">
        <v>1</v>
      </c>
      <c r="J7" s="21">
        <v>1</v>
      </c>
      <c r="K7" s="21">
        <v>72</v>
      </c>
      <c r="L7" s="22">
        <v>0</v>
      </c>
      <c r="M7" s="21" t="s">
        <v>19</v>
      </c>
      <c r="N7" s="15">
        <v>217</v>
      </c>
      <c r="O7" s="16">
        <v>0.67</v>
      </c>
    </row>
    <row r="8" spans="1:16" ht="17.399999999999999" x14ac:dyDescent="0.3">
      <c r="A8" s="7">
        <v>2</v>
      </c>
      <c r="B8" s="8" t="str">
        <f>HYPERLINK("https://webapp.icbf.com/v2/app/bull-search/view/1607019247","JE4764")</f>
        <v>JE4764</v>
      </c>
      <c r="C8" s="9" t="s">
        <v>20</v>
      </c>
      <c r="D8" s="10" t="s">
        <v>16</v>
      </c>
      <c r="E8" s="10" t="s">
        <v>21</v>
      </c>
      <c r="F8" s="30" t="s">
        <v>18</v>
      </c>
      <c r="G8" s="31">
        <v>0.3</v>
      </c>
      <c r="H8" s="32">
        <v>0.36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  <c r="N8" s="17">
        <v>200</v>
      </c>
      <c r="O8" s="18">
        <v>0.64</v>
      </c>
    </row>
    <row r="9" spans="1:16" ht="17.399999999999999" x14ac:dyDescent="0.3">
      <c r="A9" s="7">
        <v>3</v>
      </c>
      <c r="B9" s="8" t="str">
        <f>HYPERLINK("https://webapp.icbf.com/v2/app/bull-search/view/498691701","RVJ   ")</f>
        <v xml:space="preserve">RVJ   </v>
      </c>
      <c r="C9" s="9" t="s">
        <v>22</v>
      </c>
      <c r="D9" s="10" t="s">
        <v>23</v>
      </c>
      <c r="E9" s="10" t="s">
        <v>21</v>
      </c>
      <c r="F9" s="30" t="s">
        <v>18</v>
      </c>
      <c r="G9" s="31">
        <v>0.3</v>
      </c>
      <c r="H9" s="32">
        <v>0.76</v>
      </c>
      <c r="I9" s="21">
        <v>503</v>
      </c>
      <c r="J9" s="21">
        <v>788</v>
      </c>
      <c r="K9" s="21">
        <v>4716</v>
      </c>
      <c r="L9" s="23">
        <v>0.18</v>
      </c>
      <c r="M9" s="23">
        <v>0.17</v>
      </c>
      <c r="N9" s="17">
        <v>203</v>
      </c>
      <c r="O9" s="18">
        <v>0.98</v>
      </c>
    </row>
    <row r="10" spans="1:16" ht="17.399999999999999" x14ac:dyDescent="0.3">
      <c r="A10" s="7">
        <v>4</v>
      </c>
      <c r="B10" s="8" t="str">
        <f>HYPERLINK("https://webapp.icbf.com/v2/app/bull-search/view/1125358719","JE2049")</f>
        <v>JE2049</v>
      </c>
      <c r="C10" s="9" t="s">
        <v>24</v>
      </c>
      <c r="D10" s="10" t="s">
        <v>16</v>
      </c>
      <c r="E10" s="10" t="s">
        <v>17</v>
      </c>
      <c r="F10" s="30" t="s">
        <v>18</v>
      </c>
      <c r="G10" s="31">
        <v>0.3</v>
      </c>
      <c r="H10" s="32">
        <v>0.34</v>
      </c>
      <c r="I10" s="21">
        <v>2</v>
      </c>
      <c r="J10" s="21">
        <v>2</v>
      </c>
      <c r="K10" s="21">
        <v>31</v>
      </c>
      <c r="L10" s="22">
        <v>0</v>
      </c>
      <c r="M10" s="23">
        <v>0.28999999999999998</v>
      </c>
      <c r="N10" s="17">
        <v>209</v>
      </c>
      <c r="O10" s="18">
        <v>0.84</v>
      </c>
    </row>
    <row r="11" spans="1:16" ht="17.399999999999999" x14ac:dyDescent="0.3">
      <c r="A11" s="7">
        <v>5</v>
      </c>
      <c r="B11" s="8" t="str">
        <f>HYPERLINK("https://webapp.icbf.com/v2/app/bull-search/view/1276117557","JE4989")</f>
        <v>JE4989</v>
      </c>
      <c r="C11" s="9" t="s">
        <v>25</v>
      </c>
      <c r="D11" s="10" t="s">
        <v>16</v>
      </c>
      <c r="E11" s="10" t="s">
        <v>17</v>
      </c>
      <c r="F11" s="30" t="s">
        <v>18</v>
      </c>
      <c r="G11" s="31">
        <v>0.3</v>
      </c>
      <c r="H11" s="32">
        <v>0.32</v>
      </c>
      <c r="I11" s="21" t="s">
        <v>19</v>
      </c>
      <c r="J11" s="21" t="s">
        <v>19</v>
      </c>
      <c r="K11" s="21" t="s">
        <v>19</v>
      </c>
      <c r="L11" s="21" t="s">
        <v>19</v>
      </c>
      <c r="M11" s="21" t="s">
        <v>19</v>
      </c>
      <c r="N11" s="17">
        <v>242</v>
      </c>
      <c r="O11" s="18">
        <v>0.68</v>
      </c>
    </row>
    <row r="12" spans="1:16" ht="17.399999999999999" x14ac:dyDescent="0.3">
      <c r="A12" s="7">
        <v>6</v>
      </c>
      <c r="B12" s="8" t="str">
        <f>HYPERLINK("https://webapp.icbf.com/v2/app/bull-search/view/760395109","JE4497")</f>
        <v>JE4497</v>
      </c>
      <c r="C12" s="9" t="s">
        <v>26</v>
      </c>
      <c r="D12" s="10" t="s">
        <v>16</v>
      </c>
      <c r="E12" s="10" t="s">
        <v>27</v>
      </c>
      <c r="F12" s="30" t="s">
        <v>28</v>
      </c>
      <c r="G12" s="31">
        <v>0.3</v>
      </c>
      <c r="H12" s="32">
        <v>0.41</v>
      </c>
      <c r="I12" s="21">
        <v>4</v>
      </c>
      <c r="J12" s="21">
        <v>9</v>
      </c>
      <c r="K12" s="21">
        <v>63</v>
      </c>
      <c r="L12" s="23">
        <v>0.11</v>
      </c>
      <c r="M12" s="23">
        <v>0.11</v>
      </c>
      <c r="N12" s="17">
        <v>248</v>
      </c>
      <c r="O12" s="18">
        <v>0.76</v>
      </c>
    </row>
    <row r="13" spans="1:16" ht="17.399999999999999" x14ac:dyDescent="0.3">
      <c r="A13" s="7">
        <v>7</v>
      </c>
      <c r="B13" s="8" t="str">
        <f>HYPERLINK("https://webapp.icbf.com/v2/app/bull-search/view/1376471239","JE6238")</f>
        <v>JE6238</v>
      </c>
      <c r="C13" s="9" t="s">
        <v>29</v>
      </c>
      <c r="D13" s="10" t="s">
        <v>16</v>
      </c>
      <c r="E13" s="10" t="s">
        <v>17</v>
      </c>
      <c r="F13" s="30" t="s">
        <v>28</v>
      </c>
      <c r="G13" s="31">
        <v>0.3</v>
      </c>
      <c r="H13" s="32">
        <v>0.34</v>
      </c>
      <c r="I13" s="21" t="s">
        <v>19</v>
      </c>
      <c r="J13" s="21" t="s">
        <v>19</v>
      </c>
      <c r="K13" s="21" t="s">
        <v>19</v>
      </c>
      <c r="L13" s="21" t="s">
        <v>19</v>
      </c>
      <c r="M13" s="21" t="s">
        <v>19</v>
      </c>
      <c r="N13" s="17">
        <v>239</v>
      </c>
      <c r="O13" s="18">
        <v>0.65</v>
      </c>
    </row>
    <row r="14" spans="1:16" ht="17.399999999999999" x14ac:dyDescent="0.3">
      <c r="A14" s="7">
        <v>8</v>
      </c>
      <c r="B14" s="8" t="str">
        <f>HYPERLINK("https://webapp.icbf.com/v2/app/bull-search/view/1607872026","JE5386")</f>
        <v>JE5386</v>
      </c>
      <c r="C14" s="9" t="s">
        <v>30</v>
      </c>
      <c r="D14" s="10" t="s">
        <v>16</v>
      </c>
      <c r="E14" s="10" t="s">
        <v>27</v>
      </c>
      <c r="F14" s="30" t="s">
        <v>28</v>
      </c>
      <c r="G14" s="31">
        <v>0.3</v>
      </c>
      <c r="H14" s="32">
        <v>0.34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17">
        <v>221</v>
      </c>
      <c r="O14" s="18">
        <v>0.57999999999999996</v>
      </c>
    </row>
    <row r="15" spans="1:16" ht="17.399999999999999" x14ac:dyDescent="0.3">
      <c r="A15" s="7">
        <v>9</v>
      </c>
      <c r="B15" s="8" t="str">
        <f>HYPERLINK("https://webapp.icbf.com/v2/app/bull-search/view/1276132321","JE4677")</f>
        <v>JE4677</v>
      </c>
      <c r="C15" s="9" t="s">
        <v>31</v>
      </c>
      <c r="D15" s="10" t="s">
        <v>16</v>
      </c>
      <c r="E15" s="10" t="s">
        <v>27</v>
      </c>
      <c r="F15" s="30" t="s">
        <v>28</v>
      </c>
      <c r="G15" s="31">
        <v>0.3</v>
      </c>
      <c r="H15" s="32">
        <v>0.31</v>
      </c>
      <c r="I15" s="21" t="s">
        <v>19</v>
      </c>
      <c r="J15" s="21" t="s">
        <v>19</v>
      </c>
      <c r="K15" s="21" t="s">
        <v>19</v>
      </c>
      <c r="L15" s="21" t="s">
        <v>19</v>
      </c>
      <c r="M15" s="21" t="s">
        <v>19</v>
      </c>
      <c r="N15" s="17">
        <v>201</v>
      </c>
      <c r="O15" s="18">
        <v>0.64</v>
      </c>
    </row>
    <row r="16" spans="1:16" ht="17.399999999999999" x14ac:dyDescent="0.3">
      <c r="A16" s="7">
        <v>10</v>
      </c>
      <c r="B16" s="8" t="str">
        <f>HYPERLINK("https://webapp.icbf.com/v2/app/bull-search/view/1865920909","JE7194")</f>
        <v>JE7194</v>
      </c>
      <c r="C16" s="9" t="s">
        <v>32</v>
      </c>
      <c r="D16" s="10" t="s">
        <v>16</v>
      </c>
      <c r="E16" s="10" t="s">
        <v>17</v>
      </c>
      <c r="F16" s="30" t="s">
        <v>28</v>
      </c>
      <c r="G16" s="31">
        <v>0.3</v>
      </c>
      <c r="H16" s="32">
        <v>0.21</v>
      </c>
      <c r="I16" s="21" t="s">
        <v>19</v>
      </c>
      <c r="J16" s="21" t="s">
        <v>19</v>
      </c>
      <c r="K16" s="21" t="s">
        <v>19</v>
      </c>
      <c r="L16" s="21" t="s">
        <v>19</v>
      </c>
      <c r="M16" s="21" t="s">
        <v>19</v>
      </c>
      <c r="N16" s="17">
        <v>269</v>
      </c>
      <c r="O16" s="18">
        <v>0.49</v>
      </c>
    </row>
    <row r="17" spans="1:15" ht="17.399999999999999" x14ac:dyDescent="0.3">
      <c r="A17" s="7">
        <v>11</v>
      </c>
      <c r="B17" s="8" t="str">
        <f>HYPERLINK("https://webapp.icbf.com/v2/app/bull-search/view/1607019243","JE5383")</f>
        <v>JE5383</v>
      </c>
      <c r="C17" s="9" t="s">
        <v>33</v>
      </c>
      <c r="D17" s="10" t="s">
        <v>16</v>
      </c>
      <c r="E17" s="10" t="s">
        <v>27</v>
      </c>
      <c r="F17" s="30" t="s">
        <v>28</v>
      </c>
      <c r="G17" s="31">
        <v>0.3</v>
      </c>
      <c r="H17" s="32">
        <v>0.36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17">
        <v>200</v>
      </c>
      <c r="O17" s="18">
        <v>0.57999999999999996</v>
      </c>
    </row>
    <row r="18" spans="1:15" ht="17.399999999999999" x14ac:dyDescent="0.3">
      <c r="A18" s="7">
        <v>12</v>
      </c>
      <c r="B18" s="8" t="str">
        <f>HYPERLINK("https://webapp.icbf.com/v2/app/bull-search/view/1013736543","JE2454")</f>
        <v>JE2454</v>
      </c>
      <c r="C18" s="9" t="s">
        <v>34</v>
      </c>
      <c r="D18" s="10" t="s">
        <v>16</v>
      </c>
      <c r="E18" s="10" t="s">
        <v>17</v>
      </c>
      <c r="F18" s="30" t="s">
        <v>28</v>
      </c>
      <c r="G18" s="31">
        <v>0.3</v>
      </c>
      <c r="H18" s="32">
        <v>0.32</v>
      </c>
      <c r="I18" s="21">
        <v>1</v>
      </c>
      <c r="J18" s="21">
        <v>1</v>
      </c>
      <c r="K18" s="21">
        <v>129</v>
      </c>
      <c r="L18" s="22">
        <v>0</v>
      </c>
      <c r="M18" s="22">
        <v>1.6E-2</v>
      </c>
      <c r="N18" s="17">
        <v>231</v>
      </c>
      <c r="O18" s="18">
        <v>0.68</v>
      </c>
    </row>
    <row r="19" spans="1:15" ht="17.399999999999999" x14ac:dyDescent="0.3">
      <c r="A19" s="7">
        <v>13</v>
      </c>
      <c r="B19" s="8" t="str">
        <f>HYPERLINK("https://webapp.icbf.com/v2/app/bull-search/view/1619024372","JE4574")</f>
        <v>JE4574</v>
      </c>
      <c r="C19" s="9" t="s">
        <v>35</v>
      </c>
      <c r="D19" s="10" t="s">
        <v>16</v>
      </c>
      <c r="E19" s="10" t="s">
        <v>17</v>
      </c>
      <c r="F19" s="30" t="s">
        <v>28</v>
      </c>
      <c r="G19" s="31">
        <v>0.3</v>
      </c>
      <c r="H19" s="32">
        <v>0.22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17">
        <v>204</v>
      </c>
      <c r="O19" s="18">
        <v>0.62</v>
      </c>
    </row>
    <row r="20" spans="1:15" ht="17.399999999999999" x14ac:dyDescent="0.3">
      <c r="A20" s="7">
        <v>14</v>
      </c>
      <c r="B20" s="8" t="str">
        <f>HYPERLINK("https://webapp.icbf.com/v2/app/bull-search/view/1125372204","JE4502")</f>
        <v>JE4502</v>
      </c>
      <c r="C20" s="9" t="s">
        <v>36</v>
      </c>
      <c r="D20" s="10" t="s">
        <v>16</v>
      </c>
      <c r="E20" s="10" t="s">
        <v>17</v>
      </c>
      <c r="F20" s="30" t="s">
        <v>28</v>
      </c>
      <c r="G20" s="31">
        <v>0.3</v>
      </c>
      <c r="H20" s="32">
        <v>0.39</v>
      </c>
      <c r="I20" s="21" t="s">
        <v>19</v>
      </c>
      <c r="J20" s="21" t="s">
        <v>19</v>
      </c>
      <c r="K20" s="21" t="s">
        <v>19</v>
      </c>
      <c r="L20" s="21" t="s">
        <v>19</v>
      </c>
      <c r="M20" s="21" t="s">
        <v>19</v>
      </c>
      <c r="N20" s="17">
        <v>203</v>
      </c>
      <c r="O20" s="18">
        <v>0.67</v>
      </c>
    </row>
    <row r="21" spans="1:15" ht="17.399999999999999" x14ac:dyDescent="0.3">
      <c r="A21" s="7">
        <v>15</v>
      </c>
      <c r="B21" s="8" t="str">
        <f>HYPERLINK("https://webapp.icbf.com/v2/app/bull-search/view/1150930482","AY4406")</f>
        <v>AY4406</v>
      </c>
      <c r="C21" s="9" t="s">
        <v>37</v>
      </c>
      <c r="D21" s="10" t="s">
        <v>38</v>
      </c>
      <c r="E21" s="10" t="s">
        <v>27</v>
      </c>
      <c r="F21" s="30" t="s">
        <v>28</v>
      </c>
      <c r="G21" s="31">
        <v>0.3</v>
      </c>
      <c r="H21" s="32">
        <v>0.1</v>
      </c>
      <c r="I21" s="21" t="s">
        <v>19</v>
      </c>
      <c r="J21" s="21" t="s">
        <v>19</v>
      </c>
      <c r="K21" s="21" t="s">
        <v>19</v>
      </c>
      <c r="L21" s="21" t="s">
        <v>19</v>
      </c>
      <c r="M21" s="21" t="s">
        <v>19</v>
      </c>
      <c r="N21" s="17">
        <v>225</v>
      </c>
      <c r="O21" s="18">
        <v>0.64</v>
      </c>
    </row>
    <row r="22" spans="1:15" ht="17.399999999999999" x14ac:dyDescent="0.3">
      <c r="A22" s="7">
        <v>16</v>
      </c>
      <c r="B22" s="8" t="str">
        <f>HYPERLINK("https://webapp.icbf.com/v2/app/bull-search/view/1276122557","JE4676")</f>
        <v>JE4676</v>
      </c>
      <c r="C22" s="9" t="s">
        <v>39</v>
      </c>
      <c r="D22" s="10" t="s">
        <v>16</v>
      </c>
      <c r="E22" s="10" t="s">
        <v>27</v>
      </c>
      <c r="F22" s="30" t="s">
        <v>28</v>
      </c>
      <c r="G22" s="31">
        <v>0.3</v>
      </c>
      <c r="H22" s="32">
        <v>0.32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  <c r="N22" s="17">
        <v>203</v>
      </c>
      <c r="O22" s="18">
        <v>0.66</v>
      </c>
    </row>
    <row r="23" spans="1:15" ht="17.399999999999999" x14ac:dyDescent="0.3">
      <c r="A23" s="7">
        <v>17</v>
      </c>
      <c r="B23" s="8" t="str">
        <f>HYPERLINK("https://webapp.icbf.com/v2/app/bull-search/view/1472044934","JE6721")</f>
        <v>JE6721</v>
      </c>
      <c r="C23" s="9" t="s">
        <v>40</v>
      </c>
      <c r="D23" s="10" t="s">
        <v>16</v>
      </c>
      <c r="E23" s="10" t="s">
        <v>17</v>
      </c>
      <c r="F23" s="30" t="s">
        <v>28</v>
      </c>
      <c r="G23" s="31">
        <v>0.3</v>
      </c>
      <c r="H23" s="32">
        <v>0.32</v>
      </c>
      <c r="I23" s="21" t="s">
        <v>19</v>
      </c>
      <c r="J23" s="21" t="s">
        <v>19</v>
      </c>
      <c r="K23" s="21" t="s">
        <v>19</v>
      </c>
      <c r="L23" s="21" t="s">
        <v>19</v>
      </c>
      <c r="M23" s="21" t="s">
        <v>19</v>
      </c>
      <c r="N23" s="17">
        <v>243</v>
      </c>
      <c r="O23" s="18">
        <v>0.59</v>
      </c>
    </row>
    <row r="24" spans="1:15" ht="17.399999999999999" x14ac:dyDescent="0.3">
      <c r="A24" s="7">
        <v>18</v>
      </c>
      <c r="B24" s="8" t="str">
        <f>HYPERLINK("https://webapp.icbf.com/v2/app/bull-search/view/1419044961","JE6235")</f>
        <v>JE6235</v>
      </c>
      <c r="C24" s="9" t="s">
        <v>41</v>
      </c>
      <c r="D24" s="10" t="s">
        <v>16</v>
      </c>
      <c r="E24" s="10" t="s">
        <v>27</v>
      </c>
      <c r="F24" s="30" t="s">
        <v>28</v>
      </c>
      <c r="G24" s="31">
        <v>0.3</v>
      </c>
      <c r="H24" s="32">
        <v>0.34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  <c r="N24" s="17">
        <v>205</v>
      </c>
      <c r="O24" s="18">
        <v>0.61</v>
      </c>
    </row>
    <row r="25" spans="1:15" ht="17.399999999999999" x14ac:dyDescent="0.3">
      <c r="A25" s="7">
        <v>19</v>
      </c>
      <c r="B25" s="8" t="str">
        <f>HYPERLINK("https://webapp.icbf.com/v2/app/bull-search/view/1492470288","JE4506")</f>
        <v>JE4506</v>
      </c>
      <c r="C25" s="9" t="s">
        <v>42</v>
      </c>
      <c r="D25" s="10" t="s">
        <v>16</v>
      </c>
      <c r="E25" s="10" t="s">
        <v>27</v>
      </c>
      <c r="F25" s="30" t="s">
        <v>28</v>
      </c>
      <c r="G25" s="31">
        <v>0.3</v>
      </c>
      <c r="H25" s="32">
        <v>0.33</v>
      </c>
      <c r="I25" s="21" t="s">
        <v>19</v>
      </c>
      <c r="J25" s="21" t="s">
        <v>19</v>
      </c>
      <c r="K25" s="21" t="s">
        <v>19</v>
      </c>
      <c r="L25" s="21" t="s">
        <v>19</v>
      </c>
      <c r="M25" s="21" t="s">
        <v>19</v>
      </c>
      <c r="N25" s="17">
        <v>222</v>
      </c>
      <c r="O25" s="18">
        <v>0.64</v>
      </c>
    </row>
    <row r="26" spans="1:15" ht="17.399999999999999" x14ac:dyDescent="0.3">
      <c r="A26" s="7">
        <v>20</v>
      </c>
      <c r="B26" s="8" t="str">
        <f>HYPERLINK("https://webapp.icbf.com/v2/app/bull-search/view/1376471229","JE7104")</f>
        <v>JE7104</v>
      </c>
      <c r="C26" s="9" t="s">
        <v>43</v>
      </c>
      <c r="D26" s="10" t="s">
        <v>16</v>
      </c>
      <c r="E26" s="10" t="s">
        <v>17</v>
      </c>
      <c r="F26" s="30" t="s">
        <v>28</v>
      </c>
      <c r="G26" s="31">
        <v>0.3</v>
      </c>
      <c r="H26" s="32">
        <v>0.28999999999999998</v>
      </c>
      <c r="I26" s="21" t="s">
        <v>19</v>
      </c>
      <c r="J26" s="21" t="s">
        <v>19</v>
      </c>
      <c r="K26" s="21" t="s">
        <v>19</v>
      </c>
      <c r="L26" s="21" t="s">
        <v>19</v>
      </c>
      <c r="M26" s="21" t="s">
        <v>19</v>
      </c>
      <c r="N26" s="17">
        <v>201</v>
      </c>
      <c r="O26" s="18">
        <v>0.59</v>
      </c>
    </row>
    <row r="27" spans="1:15" ht="17.399999999999999" x14ac:dyDescent="0.3">
      <c r="A27" s="7">
        <v>21</v>
      </c>
      <c r="B27" s="8" t="str">
        <f>HYPERLINK("https://webapp.icbf.com/v2/app/bull-search/view/1245148607","FR2233")</f>
        <v>FR2233</v>
      </c>
      <c r="C27" s="9" t="s">
        <v>44</v>
      </c>
      <c r="D27" s="10" t="s">
        <v>45</v>
      </c>
      <c r="E27" s="10" t="s">
        <v>27</v>
      </c>
      <c r="F27" s="30" t="s">
        <v>28</v>
      </c>
      <c r="G27" s="31">
        <v>0.3</v>
      </c>
      <c r="H27" s="32">
        <v>0.46</v>
      </c>
      <c r="I27" s="21">
        <v>92</v>
      </c>
      <c r="J27" s="21">
        <v>123</v>
      </c>
      <c r="K27" s="21">
        <v>1446</v>
      </c>
      <c r="L27" s="22">
        <v>6.5000000000000002E-2</v>
      </c>
      <c r="M27" s="22">
        <v>8.1000000000000003E-2</v>
      </c>
      <c r="N27" s="17">
        <v>244</v>
      </c>
      <c r="O27" s="18">
        <v>0.93</v>
      </c>
    </row>
    <row r="28" spans="1:15" ht="17.399999999999999" x14ac:dyDescent="0.3">
      <c r="A28" s="7">
        <v>22</v>
      </c>
      <c r="B28" s="8" t="str">
        <f>HYPERLINK("https://webapp.icbf.com/v2/app/bull-search/view/1150878747","JE4509")</f>
        <v>JE4509</v>
      </c>
      <c r="C28" s="9" t="s">
        <v>46</v>
      </c>
      <c r="D28" s="10" t="s">
        <v>16</v>
      </c>
      <c r="E28" s="10" t="s">
        <v>17</v>
      </c>
      <c r="F28" s="30" t="s">
        <v>28</v>
      </c>
      <c r="G28" s="31">
        <v>0.31</v>
      </c>
      <c r="H28" s="32">
        <v>0.21</v>
      </c>
      <c r="I28" s="21">
        <v>1</v>
      </c>
      <c r="J28" s="21">
        <v>2</v>
      </c>
      <c r="K28" s="21">
        <v>16</v>
      </c>
      <c r="L28" s="22">
        <v>0</v>
      </c>
      <c r="M28" s="22">
        <v>6.3E-2</v>
      </c>
      <c r="N28" s="17">
        <v>213</v>
      </c>
      <c r="O28" s="18">
        <v>0.66</v>
      </c>
    </row>
    <row r="29" spans="1:15" ht="17.399999999999999" x14ac:dyDescent="0.3">
      <c r="A29" s="7">
        <v>23</v>
      </c>
      <c r="B29" s="8" t="str">
        <f>HYPERLINK("https://webapp.icbf.com/v2/app/bull-search/view/1846314964","FR7140")</f>
        <v>FR7140</v>
      </c>
      <c r="C29" s="9" t="s">
        <v>47</v>
      </c>
      <c r="D29" s="10" t="s">
        <v>45</v>
      </c>
      <c r="E29" s="10" t="s">
        <v>27</v>
      </c>
      <c r="F29" s="30" t="s">
        <v>28</v>
      </c>
      <c r="G29" s="31">
        <v>0.31</v>
      </c>
      <c r="H29" s="32">
        <v>0.28999999999999998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17">
        <v>320</v>
      </c>
      <c r="O29" s="18">
        <v>0.51</v>
      </c>
    </row>
    <row r="30" spans="1:15" ht="17.399999999999999" x14ac:dyDescent="0.3">
      <c r="A30" s="7">
        <v>24</v>
      </c>
      <c r="B30" s="8" t="str">
        <f>HYPERLINK("https://webapp.icbf.com/v2/app/bull-search/view/1276117549","JE5061")</f>
        <v>JE5061</v>
      </c>
      <c r="C30" s="9" t="s">
        <v>48</v>
      </c>
      <c r="D30" s="10" t="s">
        <v>16</v>
      </c>
      <c r="E30" s="10" t="s">
        <v>17</v>
      </c>
      <c r="F30" s="30" t="s">
        <v>49</v>
      </c>
      <c r="G30" s="31">
        <v>0.31</v>
      </c>
      <c r="H30" s="32">
        <v>0.31</v>
      </c>
      <c r="I30" s="21" t="s">
        <v>19</v>
      </c>
      <c r="J30" s="21" t="s">
        <v>19</v>
      </c>
      <c r="K30" s="21" t="s">
        <v>19</v>
      </c>
      <c r="L30" s="21" t="s">
        <v>19</v>
      </c>
      <c r="M30" s="21" t="s">
        <v>19</v>
      </c>
      <c r="N30" s="17">
        <v>223</v>
      </c>
      <c r="O30" s="18">
        <v>0.65</v>
      </c>
    </row>
    <row r="31" spans="1:15" ht="17.399999999999999" x14ac:dyDescent="0.3">
      <c r="A31" s="7">
        <v>25</v>
      </c>
      <c r="B31" s="8" t="str">
        <f>HYPERLINK("https://webapp.icbf.com/v2/app/bull-search/view/1276119505","JE6745")</f>
        <v>JE6745</v>
      </c>
      <c r="C31" s="9" t="s">
        <v>50</v>
      </c>
      <c r="D31" s="10" t="s">
        <v>16</v>
      </c>
      <c r="E31" s="10" t="s">
        <v>17</v>
      </c>
      <c r="F31" s="30" t="s">
        <v>49</v>
      </c>
      <c r="G31" s="31">
        <v>0.31</v>
      </c>
      <c r="H31" s="32">
        <v>0.23</v>
      </c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  <c r="N31" s="17">
        <v>204</v>
      </c>
      <c r="O31" s="18">
        <v>0.56999999999999995</v>
      </c>
    </row>
    <row r="32" spans="1:15" ht="17.399999999999999" x14ac:dyDescent="0.3">
      <c r="A32" s="7">
        <v>26</v>
      </c>
      <c r="B32" s="8" t="str">
        <f>HYPERLINK("https://webapp.icbf.com/v2/app/bull-search/view/992944850","JE4528")</f>
        <v>JE4528</v>
      </c>
      <c r="C32" s="9" t="s">
        <v>51</v>
      </c>
      <c r="D32" s="10" t="s">
        <v>16</v>
      </c>
      <c r="E32" s="10" t="s">
        <v>17</v>
      </c>
      <c r="F32" s="30" t="s">
        <v>49</v>
      </c>
      <c r="G32" s="31">
        <v>0.31</v>
      </c>
      <c r="H32" s="32">
        <v>0.27</v>
      </c>
      <c r="I32" s="21" t="s">
        <v>19</v>
      </c>
      <c r="J32" s="21" t="s">
        <v>19</v>
      </c>
      <c r="K32" s="21" t="s">
        <v>19</v>
      </c>
      <c r="L32" s="21" t="s">
        <v>19</v>
      </c>
      <c r="M32" s="21" t="s">
        <v>19</v>
      </c>
      <c r="N32" s="17">
        <v>214</v>
      </c>
      <c r="O32" s="18">
        <v>0.71</v>
      </c>
    </row>
    <row r="33" spans="1:15" ht="17.399999999999999" x14ac:dyDescent="0.3">
      <c r="A33" s="7">
        <v>27</v>
      </c>
      <c r="B33" s="8" t="str">
        <f>HYPERLINK("https://webapp.icbf.com/v2/app/bull-search/view/1276122604","JE6250")</f>
        <v>JE6250</v>
      </c>
      <c r="C33" s="9" t="s">
        <v>52</v>
      </c>
      <c r="D33" s="10" t="s">
        <v>16</v>
      </c>
      <c r="E33" s="10" t="s">
        <v>27</v>
      </c>
      <c r="F33" s="30" t="s">
        <v>49</v>
      </c>
      <c r="G33" s="31">
        <v>0.31</v>
      </c>
      <c r="H33" s="32">
        <v>0.28000000000000003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17">
        <v>219</v>
      </c>
      <c r="O33" s="18">
        <v>0.62</v>
      </c>
    </row>
    <row r="34" spans="1:15" ht="17.399999999999999" x14ac:dyDescent="0.3">
      <c r="A34" s="7">
        <v>28</v>
      </c>
      <c r="B34" s="8" t="str">
        <f>HYPERLINK("https://webapp.icbf.com/v2/app/bull-search/view/868447767","OPH   ")</f>
        <v xml:space="preserve">OPH   </v>
      </c>
      <c r="C34" s="9" t="s">
        <v>53</v>
      </c>
      <c r="D34" s="10" t="s">
        <v>45</v>
      </c>
      <c r="E34" s="10" t="s">
        <v>27</v>
      </c>
      <c r="F34" s="30" t="s">
        <v>49</v>
      </c>
      <c r="G34" s="31">
        <v>0.31</v>
      </c>
      <c r="H34" s="32">
        <v>0.41</v>
      </c>
      <c r="I34" s="21">
        <v>23</v>
      </c>
      <c r="J34" s="21">
        <v>41</v>
      </c>
      <c r="K34" s="21">
        <v>254</v>
      </c>
      <c r="L34" s="23">
        <v>0.15</v>
      </c>
      <c r="M34" s="23">
        <v>0.11</v>
      </c>
      <c r="N34" s="17">
        <v>234</v>
      </c>
      <c r="O34" s="18">
        <v>0.9</v>
      </c>
    </row>
    <row r="35" spans="1:15" ht="17.399999999999999" x14ac:dyDescent="0.3">
      <c r="A35" s="7">
        <v>29</v>
      </c>
      <c r="B35" s="8" t="str">
        <f>HYPERLINK("https://webapp.icbf.com/v2/app/bull-search/view/1150878758","JE5992")</f>
        <v>JE5992</v>
      </c>
      <c r="C35" s="9" t="s">
        <v>54</v>
      </c>
      <c r="D35" s="10" t="s">
        <v>16</v>
      </c>
      <c r="E35" s="10" t="s">
        <v>17</v>
      </c>
      <c r="F35" s="30" t="s">
        <v>49</v>
      </c>
      <c r="G35" s="31">
        <v>0.31</v>
      </c>
      <c r="H35" s="32">
        <v>0.32</v>
      </c>
      <c r="I35" s="21" t="s">
        <v>19</v>
      </c>
      <c r="J35" s="21" t="s">
        <v>19</v>
      </c>
      <c r="K35" s="21" t="s">
        <v>19</v>
      </c>
      <c r="L35" s="21" t="s">
        <v>19</v>
      </c>
      <c r="M35" s="21" t="s">
        <v>19</v>
      </c>
      <c r="N35" s="17">
        <v>221</v>
      </c>
      <c r="O35" s="18">
        <v>0.7</v>
      </c>
    </row>
    <row r="36" spans="1:15" ht="17.399999999999999" x14ac:dyDescent="0.3">
      <c r="A36" s="7">
        <v>30</v>
      </c>
      <c r="B36" s="8" t="str">
        <f>HYPERLINK("https://webapp.icbf.com/v2/app/bull-search/view/501133434","MJI   ")</f>
        <v xml:space="preserve">MJI   </v>
      </c>
      <c r="C36" s="9" t="s">
        <v>55</v>
      </c>
      <c r="D36" s="10" t="s">
        <v>45</v>
      </c>
      <c r="E36" s="10" t="s">
        <v>17</v>
      </c>
      <c r="F36" s="30" t="s">
        <v>49</v>
      </c>
      <c r="G36" s="31">
        <v>0.31</v>
      </c>
      <c r="H36" s="32">
        <v>0.8</v>
      </c>
      <c r="I36" s="21">
        <v>685</v>
      </c>
      <c r="J36" s="21">
        <v>911</v>
      </c>
      <c r="K36" s="21">
        <v>4805</v>
      </c>
      <c r="L36" s="23">
        <v>0.28000000000000003</v>
      </c>
      <c r="M36" s="23">
        <v>0.24</v>
      </c>
      <c r="N36" s="17">
        <v>203</v>
      </c>
      <c r="O36" s="18">
        <v>0.99</v>
      </c>
    </row>
    <row r="37" spans="1:15" ht="17.399999999999999" x14ac:dyDescent="0.3">
      <c r="A37" s="7">
        <v>31</v>
      </c>
      <c r="B37" s="8" t="str">
        <f>HYPERLINK("https://webapp.icbf.com/v2/app/bull-search/view/1376482790","FR5989")</f>
        <v>FR5989</v>
      </c>
      <c r="C37" s="9" t="s">
        <v>56</v>
      </c>
      <c r="D37" s="10" t="s">
        <v>45</v>
      </c>
      <c r="E37" s="10" t="s">
        <v>17</v>
      </c>
      <c r="F37" s="30" t="s">
        <v>49</v>
      </c>
      <c r="G37" s="31">
        <v>0.31</v>
      </c>
      <c r="H37" s="32">
        <v>0.19</v>
      </c>
      <c r="I37" s="21" t="s">
        <v>19</v>
      </c>
      <c r="J37" s="21" t="s">
        <v>19</v>
      </c>
      <c r="K37" s="21" t="s">
        <v>19</v>
      </c>
      <c r="L37" s="21" t="s">
        <v>19</v>
      </c>
      <c r="M37" s="21" t="s">
        <v>19</v>
      </c>
      <c r="N37" s="17">
        <v>207</v>
      </c>
      <c r="O37" s="18">
        <v>0.63</v>
      </c>
    </row>
    <row r="38" spans="1:15" ht="17.399999999999999" x14ac:dyDescent="0.3">
      <c r="A38" s="7">
        <v>32</v>
      </c>
      <c r="B38" s="8" t="str">
        <f>HYPERLINK("https://webapp.icbf.com/v2/app/bull-search/view/1474307030","FR4615")</f>
        <v>FR4615</v>
      </c>
      <c r="C38" s="9" t="s">
        <v>57</v>
      </c>
      <c r="D38" s="10" t="s">
        <v>45</v>
      </c>
      <c r="E38" s="10" t="s">
        <v>27</v>
      </c>
      <c r="F38" s="30" t="s">
        <v>49</v>
      </c>
      <c r="G38" s="31">
        <v>0.31</v>
      </c>
      <c r="H38" s="32">
        <v>0.4</v>
      </c>
      <c r="I38" s="21" t="s">
        <v>19</v>
      </c>
      <c r="J38" s="21" t="s">
        <v>19</v>
      </c>
      <c r="K38" s="21" t="s">
        <v>19</v>
      </c>
      <c r="L38" s="21" t="s">
        <v>19</v>
      </c>
      <c r="M38" s="21" t="s">
        <v>19</v>
      </c>
      <c r="N38" s="17">
        <v>230</v>
      </c>
      <c r="O38" s="18">
        <v>0.65</v>
      </c>
    </row>
    <row r="39" spans="1:15" ht="17.399999999999999" x14ac:dyDescent="0.3">
      <c r="A39" s="7">
        <v>33</v>
      </c>
      <c r="B39" s="8" t="str">
        <f>HYPERLINK("https://webapp.icbf.com/v2/app/bull-search/view/1337276201","JE5001")</f>
        <v>JE5001</v>
      </c>
      <c r="C39" s="9" t="s">
        <v>58</v>
      </c>
      <c r="D39" s="10" t="s">
        <v>16</v>
      </c>
      <c r="E39" s="10" t="s">
        <v>17</v>
      </c>
      <c r="F39" s="30" t="s">
        <v>49</v>
      </c>
      <c r="G39" s="31">
        <v>0.31</v>
      </c>
      <c r="H39" s="32">
        <v>0.28999999999999998</v>
      </c>
      <c r="I39" s="21" t="s">
        <v>19</v>
      </c>
      <c r="J39" s="21" t="s">
        <v>19</v>
      </c>
      <c r="K39" s="21" t="s">
        <v>19</v>
      </c>
      <c r="L39" s="21" t="s">
        <v>19</v>
      </c>
      <c r="M39" s="21" t="s">
        <v>19</v>
      </c>
      <c r="N39" s="17">
        <v>205</v>
      </c>
      <c r="O39" s="18">
        <v>0.66</v>
      </c>
    </row>
    <row r="40" spans="1:15" ht="17.399999999999999" x14ac:dyDescent="0.3">
      <c r="A40" s="7">
        <v>34</v>
      </c>
      <c r="B40" s="8" t="str">
        <f>HYPERLINK("https://webapp.icbf.com/v2/app/bull-search/view/1276117546","JE5100")</f>
        <v>JE5100</v>
      </c>
      <c r="C40" s="9" t="s">
        <v>59</v>
      </c>
      <c r="D40" s="10" t="s">
        <v>16</v>
      </c>
      <c r="E40" s="10" t="s">
        <v>17</v>
      </c>
      <c r="F40" s="30" t="s">
        <v>49</v>
      </c>
      <c r="G40" s="31">
        <v>0.31</v>
      </c>
      <c r="H40" s="32">
        <v>0.34</v>
      </c>
      <c r="I40" s="21" t="s">
        <v>19</v>
      </c>
      <c r="J40" s="21" t="s">
        <v>19</v>
      </c>
      <c r="K40" s="21" t="s">
        <v>19</v>
      </c>
      <c r="L40" s="21" t="s">
        <v>19</v>
      </c>
      <c r="M40" s="21" t="s">
        <v>19</v>
      </c>
      <c r="N40" s="17">
        <v>200</v>
      </c>
      <c r="O40" s="18">
        <v>0.65</v>
      </c>
    </row>
    <row r="41" spans="1:15" ht="17.399999999999999" x14ac:dyDescent="0.3">
      <c r="A41" s="7">
        <v>35</v>
      </c>
      <c r="B41" s="8" t="str">
        <f>HYPERLINK("https://webapp.icbf.com/v2/app/bull-search/view/1731742130","JE5890")</f>
        <v>JE5890</v>
      </c>
      <c r="C41" s="9" t="s">
        <v>60</v>
      </c>
      <c r="D41" s="10" t="s">
        <v>16</v>
      </c>
      <c r="E41" s="10" t="s">
        <v>21</v>
      </c>
      <c r="F41" s="30" t="s">
        <v>49</v>
      </c>
      <c r="G41" s="31">
        <v>0.31</v>
      </c>
      <c r="H41" s="32">
        <v>0.25</v>
      </c>
      <c r="I41" s="21" t="s">
        <v>19</v>
      </c>
      <c r="J41" s="21" t="s">
        <v>19</v>
      </c>
      <c r="K41" s="21" t="s">
        <v>19</v>
      </c>
      <c r="L41" s="21" t="s">
        <v>19</v>
      </c>
      <c r="M41" s="21" t="s">
        <v>19</v>
      </c>
      <c r="N41" s="17">
        <v>205</v>
      </c>
      <c r="O41" s="18">
        <v>0.55000000000000004</v>
      </c>
    </row>
    <row r="42" spans="1:15" ht="17.399999999999999" x14ac:dyDescent="0.3">
      <c r="A42" s="7">
        <v>36</v>
      </c>
      <c r="B42" s="8" t="str">
        <f>HYPERLINK("https://webapp.icbf.com/v2/app/bull-search/view/1474300878","FR4514")</f>
        <v>FR4514</v>
      </c>
      <c r="C42" s="9" t="s">
        <v>61</v>
      </c>
      <c r="D42" s="10" t="s">
        <v>45</v>
      </c>
      <c r="E42" s="10" t="s">
        <v>62</v>
      </c>
      <c r="F42" s="30" t="s">
        <v>49</v>
      </c>
      <c r="G42" s="31">
        <v>0.31</v>
      </c>
      <c r="H42" s="32">
        <v>0.28999999999999998</v>
      </c>
      <c r="I42" s="21">
        <v>1</v>
      </c>
      <c r="J42" s="21">
        <v>1</v>
      </c>
      <c r="K42" s="21">
        <v>10</v>
      </c>
      <c r="L42" s="22">
        <v>0</v>
      </c>
      <c r="M42" s="21" t="s">
        <v>19</v>
      </c>
      <c r="N42" s="17">
        <v>212</v>
      </c>
      <c r="O42" s="18">
        <v>0.63</v>
      </c>
    </row>
    <row r="43" spans="1:15" ht="17.399999999999999" x14ac:dyDescent="0.3">
      <c r="A43" s="7">
        <v>37</v>
      </c>
      <c r="B43" s="8" t="str">
        <f>HYPERLINK("https://webapp.icbf.com/v2/app/bull-search/view/669829266","LHZ   ")</f>
        <v xml:space="preserve">LHZ   </v>
      </c>
      <c r="C43" s="9" t="s">
        <v>63</v>
      </c>
      <c r="D43" s="10" t="s">
        <v>45</v>
      </c>
      <c r="E43" s="10" t="s">
        <v>27</v>
      </c>
      <c r="F43" s="30" t="s">
        <v>49</v>
      </c>
      <c r="G43" s="31">
        <v>0.31</v>
      </c>
      <c r="H43" s="32">
        <v>0.9</v>
      </c>
      <c r="I43" s="21">
        <v>1569</v>
      </c>
      <c r="J43" s="21">
        <v>2338</v>
      </c>
      <c r="K43" s="21">
        <v>14010</v>
      </c>
      <c r="L43" s="23">
        <v>0.18</v>
      </c>
      <c r="M43" s="23">
        <v>0.16</v>
      </c>
      <c r="N43" s="17">
        <v>251</v>
      </c>
      <c r="O43" s="18">
        <v>0.99</v>
      </c>
    </row>
    <row r="44" spans="1:15" ht="17.399999999999999" x14ac:dyDescent="0.3">
      <c r="A44" s="7">
        <v>38</v>
      </c>
      <c r="B44" s="8" t="str">
        <f>HYPERLINK("https://webapp.icbf.com/v2/app/bull-search/view/1419044825","FR6229")</f>
        <v>FR6229</v>
      </c>
      <c r="C44" s="9" t="s">
        <v>64</v>
      </c>
      <c r="D44" s="10" t="s">
        <v>45</v>
      </c>
      <c r="E44" s="10" t="s">
        <v>27</v>
      </c>
      <c r="F44" s="30" t="s">
        <v>49</v>
      </c>
      <c r="G44" s="31">
        <v>0.31</v>
      </c>
      <c r="H44" s="32">
        <v>0.21</v>
      </c>
      <c r="I44" s="21" t="s">
        <v>19</v>
      </c>
      <c r="J44" s="21" t="s">
        <v>19</v>
      </c>
      <c r="K44" s="21" t="s">
        <v>19</v>
      </c>
      <c r="L44" s="21" t="s">
        <v>19</v>
      </c>
      <c r="M44" s="21" t="s">
        <v>19</v>
      </c>
      <c r="N44" s="17">
        <v>254</v>
      </c>
      <c r="O44" s="18">
        <v>0.6</v>
      </c>
    </row>
    <row r="45" spans="1:15" ht="17.399999999999999" x14ac:dyDescent="0.3">
      <c r="A45" s="7">
        <v>39</v>
      </c>
      <c r="B45" s="8" t="str">
        <f>HYPERLINK("https://webapp.icbf.com/v2/app/bull-search/view/1472044512","FR6790")</f>
        <v>FR6790</v>
      </c>
      <c r="C45" s="9" t="s">
        <v>65</v>
      </c>
      <c r="D45" s="10" t="s">
        <v>45</v>
      </c>
      <c r="E45" s="10" t="s">
        <v>17</v>
      </c>
      <c r="F45" s="30" t="s">
        <v>49</v>
      </c>
      <c r="G45" s="31">
        <v>0.31</v>
      </c>
      <c r="H45" s="32">
        <v>0.23</v>
      </c>
      <c r="I45" s="21" t="s">
        <v>19</v>
      </c>
      <c r="J45" s="21" t="s">
        <v>19</v>
      </c>
      <c r="K45" s="21" t="s">
        <v>19</v>
      </c>
      <c r="L45" s="21" t="s">
        <v>19</v>
      </c>
      <c r="M45" s="21" t="s">
        <v>19</v>
      </c>
      <c r="N45" s="17">
        <v>223</v>
      </c>
      <c r="O45" s="18">
        <v>0.59</v>
      </c>
    </row>
    <row r="46" spans="1:15" ht="17.399999999999999" x14ac:dyDescent="0.3">
      <c r="A46" s="7">
        <v>40</v>
      </c>
      <c r="B46" s="8" t="str">
        <f>HYPERLINK("https://webapp.icbf.com/v2/app/bull-search/view/1870225194","JE6895")</f>
        <v>JE6895</v>
      </c>
      <c r="C46" s="9" t="s">
        <v>66</v>
      </c>
      <c r="D46" s="10" t="s">
        <v>16</v>
      </c>
      <c r="E46" s="10" t="s">
        <v>17</v>
      </c>
      <c r="F46" s="30" t="s">
        <v>49</v>
      </c>
      <c r="G46" s="31">
        <v>0.31</v>
      </c>
      <c r="H46" s="32">
        <v>0.2</v>
      </c>
      <c r="I46" s="21" t="s">
        <v>19</v>
      </c>
      <c r="J46" s="21" t="s">
        <v>19</v>
      </c>
      <c r="K46" s="21" t="s">
        <v>19</v>
      </c>
      <c r="L46" s="21" t="s">
        <v>19</v>
      </c>
      <c r="M46" s="21" t="s">
        <v>19</v>
      </c>
      <c r="N46" s="17">
        <v>256</v>
      </c>
      <c r="O46" s="18">
        <v>0.51</v>
      </c>
    </row>
    <row r="47" spans="1:15" ht="17.399999999999999" x14ac:dyDescent="0.3">
      <c r="A47" s="7">
        <v>41</v>
      </c>
      <c r="B47" s="8" t="str">
        <f>HYPERLINK("https://webapp.icbf.com/v2/app/bull-search/view/747871184","EKE   ")</f>
        <v xml:space="preserve">EKE   </v>
      </c>
      <c r="C47" s="9" t="s">
        <v>67</v>
      </c>
      <c r="D47" s="10" t="s">
        <v>38</v>
      </c>
      <c r="E47" s="10" t="s">
        <v>21</v>
      </c>
      <c r="F47" s="30" t="s">
        <v>49</v>
      </c>
      <c r="G47" s="31">
        <v>0.31</v>
      </c>
      <c r="H47" s="32">
        <v>0.5</v>
      </c>
      <c r="I47" s="21">
        <v>169</v>
      </c>
      <c r="J47" s="21">
        <v>255</v>
      </c>
      <c r="K47" s="21">
        <v>1923</v>
      </c>
      <c r="L47" s="23">
        <v>0.2</v>
      </c>
      <c r="M47" s="23">
        <v>0.16</v>
      </c>
      <c r="N47" s="17">
        <v>222</v>
      </c>
      <c r="O47" s="18">
        <v>0.97</v>
      </c>
    </row>
    <row r="48" spans="1:15" ht="17.399999999999999" x14ac:dyDescent="0.3">
      <c r="A48" s="7">
        <v>42</v>
      </c>
      <c r="B48" s="8" t="str">
        <f>HYPERLINK("https://webapp.icbf.com/v2/app/bull-search/view/1248447886","FR2236")</f>
        <v>FR2236</v>
      </c>
      <c r="C48" s="9" t="s">
        <v>68</v>
      </c>
      <c r="D48" s="10" t="s">
        <v>45</v>
      </c>
      <c r="E48" s="10" t="s">
        <v>27</v>
      </c>
      <c r="F48" s="30" t="s">
        <v>49</v>
      </c>
      <c r="G48" s="31">
        <v>0.31</v>
      </c>
      <c r="H48" s="32">
        <v>0.48</v>
      </c>
      <c r="I48" s="21">
        <v>78</v>
      </c>
      <c r="J48" s="21">
        <v>127</v>
      </c>
      <c r="K48" s="21">
        <v>1460</v>
      </c>
      <c r="L48" s="22">
        <v>7.9000000000000001E-2</v>
      </c>
      <c r="M48" s="22">
        <v>6.8000000000000005E-2</v>
      </c>
      <c r="N48" s="17">
        <v>205</v>
      </c>
      <c r="O48" s="18">
        <v>0.9</v>
      </c>
    </row>
    <row r="49" spans="1:15" ht="17.399999999999999" x14ac:dyDescent="0.3">
      <c r="A49" s="7">
        <v>43</v>
      </c>
      <c r="B49" s="8" t="str">
        <f>HYPERLINK("https://webapp.icbf.com/v2/app/bull-search/view/1471467894","FR4510")</f>
        <v>FR4510</v>
      </c>
      <c r="C49" s="9" t="s">
        <v>69</v>
      </c>
      <c r="D49" s="10" t="s">
        <v>45</v>
      </c>
      <c r="E49" s="10" t="s">
        <v>27</v>
      </c>
      <c r="F49" s="30" t="s">
        <v>49</v>
      </c>
      <c r="G49" s="31">
        <v>0.31</v>
      </c>
      <c r="H49" s="32">
        <v>0.42</v>
      </c>
      <c r="I49" s="21">
        <v>2</v>
      </c>
      <c r="J49" s="21">
        <v>2</v>
      </c>
      <c r="K49" s="21">
        <v>12</v>
      </c>
      <c r="L49" s="22">
        <v>0</v>
      </c>
      <c r="M49" s="22">
        <v>8.3000000000000004E-2</v>
      </c>
      <c r="N49" s="17">
        <v>229</v>
      </c>
      <c r="O49" s="18">
        <v>0.69</v>
      </c>
    </row>
    <row r="50" spans="1:15" ht="17.399999999999999" x14ac:dyDescent="0.3">
      <c r="A50" s="7">
        <v>44</v>
      </c>
      <c r="B50" s="8" t="str">
        <f>HYPERLINK("https://webapp.icbf.com/v2/app/bull-search/view/1607023086","FR4911")</f>
        <v>FR4911</v>
      </c>
      <c r="C50" s="9" t="s">
        <v>70</v>
      </c>
      <c r="D50" s="10" t="s">
        <v>45</v>
      </c>
      <c r="E50" s="10" t="s">
        <v>27</v>
      </c>
      <c r="F50" s="30" t="s">
        <v>49</v>
      </c>
      <c r="G50" s="31">
        <v>0.31</v>
      </c>
      <c r="H50" s="32">
        <v>0.36</v>
      </c>
      <c r="I50" s="21" t="s">
        <v>19</v>
      </c>
      <c r="J50" s="21" t="s">
        <v>19</v>
      </c>
      <c r="K50" s="21" t="s">
        <v>19</v>
      </c>
      <c r="L50" s="21" t="s">
        <v>19</v>
      </c>
      <c r="M50" s="21" t="s">
        <v>19</v>
      </c>
      <c r="N50" s="17">
        <v>207</v>
      </c>
      <c r="O50" s="18">
        <v>0.62</v>
      </c>
    </row>
    <row r="51" spans="1:15" ht="17.399999999999999" x14ac:dyDescent="0.3">
      <c r="A51" s="7">
        <v>45</v>
      </c>
      <c r="B51" s="8" t="str">
        <f>HYPERLINK("https://webapp.icbf.com/v2/app/bull-search/view/1734959019","JE5986")</f>
        <v>JE5986</v>
      </c>
      <c r="C51" s="9" t="s">
        <v>71</v>
      </c>
      <c r="D51" s="10" t="s">
        <v>16</v>
      </c>
      <c r="E51" s="10" t="s">
        <v>62</v>
      </c>
      <c r="F51" s="30" t="s">
        <v>49</v>
      </c>
      <c r="G51" s="31">
        <v>0.31</v>
      </c>
      <c r="H51" s="32">
        <v>0.23</v>
      </c>
      <c r="I51" s="21" t="s">
        <v>19</v>
      </c>
      <c r="J51" s="21" t="s">
        <v>19</v>
      </c>
      <c r="K51" s="21" t="s">
        <v>19</v>
      </c>
      <c r="L51" s="21" t="s">
        <v>19</v>
      </c>
      <c r="M51" s="21" t="s">
        <v>19</v>
      </c>
      <c r="N51" s="17">
        <v>346</v>
      </c>
      <c r="O51" s="18">
        <v>0.56999999999999995</v>
      </c>
    </row>
    <row r="52" spans="1:15" ht="17.399999999999999" x14ac:dyDescent="0.3">
      <c r="A52" s="7">
        <v>46</v>
      </c>
      <c r="B52" s="8" t="str">
        <f>HYPERLINK("https://webapp.icbf.com/v2/app/bull-search/view/1472044506","FR6796")</f>
        <v>FR6796</v>
      </c>
      <c r="C52" s="9" t="s">
        <v>72</v>
      </c>
      <c r="D52" s="10" t="s">
        <v>45</v>
      </c>
      <c r="E52" s="10" t="s">
        <v>17</v>
      </c>
      <c r="F52" s="30" t="s">
        <v>73</v>
      </c>
      <c r="G52" s="31">
        <v>0.31</v>
      </c>
      <c r="H52" s="32">
        <v>0.22</v>
      </c>
      <c r="I52" s="21" t="s">
        <v>19</v>
      </c>
      <c r="J52" s="21" t="s">
        <v>19</v>
      </c>
      <c r="K52" s="21" t="s">
        <v>19</v>
      </c>
      <c r="L52" s="21" t="s">
        <v>19</v>
      </c>
      <c r="M52" s="21" t="s">
        <v>19</v>
      </c>
      <c r="N52" s="17">
        <v>223</v>
      </c>
      <c r="O52" s="18">
        <v>0.56000000000000005</v>
      </c>
    </row>
    <row r="53" spans="1:15" ht="17.399999999999999" x14ac:dyDescent="0.3">
      <c r="A53" s="7">
        <v>47</v>
      </c>
      <c r="B53" s="8" t="str">
        <f>HYPERLINK("https://webapp.icbf.com/v2/app/bull-search/view/586041758","MWW   ")</f>
        <v xml:space="preserve">MWW   </v>
      </c>
      <c r="C53" s="9" t="s">
        <v>74</v>
      </c>
      <c r="D53" s="10" t="s">
        <v>45</v>
      </c>
      <c r="E53" s="10" t="s">
        <v>17</v>
      </c>
      <c r="F53" s="30" t="s">
        <v>73</v>
      </c>
      <c r="G53" s="31">
        <v>0.31</v>
      </c>
      <c r="H53" s="32">
        <v>0.4</v>
      </c>
      <c r="I53" s="21">
        <v>46</v>
      </c>
      <c r="J53" s="21">
        <v>69</v>
      </c>
      <c r="K53" s="21">
        <v>377</v>
      </c>
      <c r="L53" s="23">
        <v>0.26</v>
      </c>
      <c r="M53" s="23">
        <v>0.26</v>
      </c>
      <c r="N53" s="17">
        <v>229</v>
      </c>
      <c r="O53" s="18">
        <v>0.96</v>
      </c>
    </row>
    <row r="54" spans="1:15" ht="17.399999999999999" x14ac:dyDescent="0.3">
      <c r="A54" s="7">
        <v>48</v>
      </c>
      <c r="B54" s="8" t="str">
        <f>HYPERLINK("https://webapp.icbf.com/v2/app/bull-search/view/1456850256","JE6805")</f>
        <v>JE6805</v>
      </c>
      <c r="C54" s="9" t="s">
        <v>75</v>
      </c>
      <c r="D54" s="10" t="s">
        <v>45</v>
      </c>
      <c r="E54" s="10" t="s">
        <v>17</v>
      </c>
      <c r="F54" s="30" t="s">
        <v>73</v>
      </c>
      <c r="G54" s="31">
        <v>0.31</v>
      </c>
      <c r="H54" s="32">
        <v>0.28000000000000003</v>
      </c>
      <c r="I54" s="21" t="s">
        <v>19</v>
      </c>
      <c r="J54" s="21" t="s">
        <v>19</v>
      </c>
      <c r="K54" s="21" t="s">
        <v>19</v>
      </c>
      <c r="L54" s="21" t="s">
        <v>19</v>
      </c>
      <c r="M54" s="21" t="s">
        <v>19</v>
      </c>
      <c r="N54" s="17">
        <v>207</v>
      </c>
      <c r="O54" s="18">
        <v>0.59</v>
      </c>
    </row>
    <row r="55" spans="1:15" ht="17.399999999999999" x14ac:dyDescent="0.3">
      <c r="A55" s="7">
        <v>49</v>
      </c>
      <c r="B55" s="8" t="str">
        <f>HYPERLINK("https://webapp.icbf.com/v2/app/bull-search/view/1608253249","FR5295")</f>
        <v>FR5295</v>
      </c>
      <c r="C55" s="9" t="s">
        <v>76</v>
      </c>
      <c r="D55" s="10" t="s">
        <v>45</v>
      </c>
      <c r="E55" s="10" t="s">
        <v>27</v>
      </c>
      <c r="F55" s="30" t="s">
        <v>73</v>
      </c>
      <c r="G55" s="31">
        <v>0.31</v>
      </c>
      <c r="H55" s="32">
        <v>0.33</v>
      </c>
      <c r="I55" s="21" t="s">
        <v>19</v>
      </c>
      <c r="J55" s="21" t="s">
        <v>19</v>
      </c>
      <c r="K55" s="21" t="s">
        <v>19</v>
      </c>
      <c r="L55" s="21" t="s">
        <v>19</v>
      </c>
      <c r="M55" s="21" t="s">
        <v>19</v>
      </c>
      <c r="N55" s="17">
        <v>251</v>
      </c>
      <c r="O55" s="18">
        <v>0.61</v>
      </c>
    </row>
    <row r="56" spans="1:15" ht="17.399999999999999" x14ac:dyDescent="0.3">
      <c r="A56" s="7">
        <v>50</v>
      </c>
      <c r="B56" s="8" t="str">
        <f>HYPERLINK("https://webapp.icbf.com/v2/app/bull-search/view/1276137704","JE6007")</f>
        <v>JE6007</v>
      </c>
      <c r="C56" s="9" t="s">
        <v>77</v>
      </c>
      <c r="D56" s="10" t="s">
        <v>16</v>
      </c>
      <c r="E56" s="10" t="s">
        <v>17</v>
      </c>
      <c r="F56" s="30" t="s">
        <v>73</v>
      </c>
      <c r="G56" s="31">
        <v>0.31</v>
      </c>
      <c r="H56" s="32">
        <v>0.21</v>
      </c>
      <c r="I56" s="21" t="s">
        <v>19</v>
      </c>
      <c r="J56" s="21" t="s">
        <v>19</v>
      </c>
      <c r="K56" s="21" t="s">
        <v>19</v>
      </c>
      <c r="L56" s="21" t="s">
        <v>19</v>
      </c>
      <c r="M56" s="21" t="s">
        <v>19</v>
      </c>
      <c r="N56" s="17">
        <v>241</v>
      </c>
      <c r="O56" s="18">
        <v>0.6</v>
      </c>
    </row>
    <row r="57" spans="1:15" ht="17.399999999999999" x14ac:dyDescent="0.3">
      <c r="A57" s="7">
        <v>51</v>
      </c>
      <c r="B57" s="8" t="str">
        <f>HYPERLINK("https://webapp.icbf.com/v2/app/bull-search/view/1125370479","FR4527")</f>
        <v>FR4527</v>
      </c>
      <c r="C57" s="9" t="s">
        <v>78</v>
      </c>
      <c r="D57" s="10" t="s">
        <v>45</v>
      </c>
      <c r="E57" s="10" t="s">
        <v>17</v>
      </c>
      <c r="F57" s="30" t="s">
        <v>73</v>
      </c>
      <c r="G57" s="31">
        <v>0.31</v>
      </c>
      <c r="H57" s="32">
        <v>0.22</v>
      </c>
      <c r="I57" s="21" t="s">
        <v>19</v>
      </c>
      <c r="J57" s="21" t="s">
        <v>19</v>
      </c>
      <c r="K57" s="21" t="s">
        <v>19</v>
      </c>
      <c r="L57" s="21" t="s">
        <v>19</v>
      </c>
      <c r="M57" s="21" t="s">
        <v>19</v>
      </c>
      <c r="N57" s="17">
        <v>227</v>
      </c>
      <c r="O57" s="18">
        <v>0.66</v>
      </c>
    </row>
    <row r="58" spans="1:15" ht="17.399999999999999" x14ac:dyDescent="0.3">
      <c r="A58" s="7">
        <v>52</v>
      </c>
      <c r="B58" s="8" t="str">
        <f>HYPERLINK("https://webapp.icbf.com/v2/app/bull-search/view/1605901732","FR4669")</f>
        <v>FR4669</v>
      </c>
      <c r="C58" s="9" t="s">
        <v>79</v>
      </c>
      <c r="D58" s="10" t="s">
        <v>45</v>
      </c>
      <c r="E58" s="10" t="s">
        <v>21</v>
      </c>
      <c r="F58" s="30" t="s">
        <v>73</v>
      </c>
      <c r="G58" s="31">
        <v>0.31</v>
      </c>
      <c r="H58" s="32">
        <v>0.28000000000000003</v>
      </c>
      <c r="I58" s="21" t="s">
        <v>19</v>
      </c>
      <c r="J58" s="21" t="s">
        <v>19</v>
      </c>
      <c r="K58" s="21" t="s">
        <v>19</v>
      </c>
      <c r="L58" s="21" t="s">
        <v>19</v>
      </c>
      <c r="M58" s="21" t="s">
        <v>19</v>
      </c>
      <c r="N58" s="17">
        <v>235</v>
      </c>
      <c r="O58" s="18">
        <v>0.61</v>
      </c>
    </row>
    <row r="59" spans="1:15" ht="17.399999999999999" x14ac:dyDescent="0.3">
      <c r="A59" s="7">
        <v>53</v>
      </c>
      <c r="B59" s="8" t="str">
        <f>HYPERLINK("https://webapp.icbf.com/v2/app/bull-search/view/1590721346","FR4753")</f>
        <v>FR4753</v>
      </c>
      <c r="C59" s="9" t="s">
        <v>80</v>
      </c>
      <c r="D59" s="10" t="s">
        <v>45</v>
      </c>
      <c r="E59" s="10" t="s">
        <v>27</v>
      </c>
      <c r="F59" s="30" t="s">
        <v>73</v>
      </c>
      <c r="G59" s="31">
        <v>0.31</v>
      </c>
      <c r="H59" s="32">
        <v>0.39</v>
      </c>
      <c r="I59" s="21" t="s">
        <v>19</v>
      </c>
      <c r="J59" s="21" t="s">
        <v>19</v>
      </c>
      <c r="K59" s="21" t="s">
        <v>19</v>
      </c>
      <c r="L59" s="21" t="s">
        <v>19</v>
      </c>
      <c r="M59" s="21" t="s">
        <v>19</v>
      </c>
      <c r="N59" s="17">
        <v>217</v>
      </c>
      <c r="O59" s="18">
        <v>0.64</v>
      </c>
    </row>
    <row r="60" spans="1:15" ht="17.399999999999999" x14ac:dyDescent="0.3">
      <c r="A60" s="7">
        <v>54</v>
      </c>
      <c r="B60" s="8" t="str">
        <f>HYPERLINK("https://webapp.icbf.com/v2/app/bull-search/view/1125363326","JE5034")</f>
        <v>JE5034</v>
      </c>
      <c r="C60" s="9" t="s">
        <v>81</v>
      </c>
      <c r="D60" s="10" t="s">
        <v>45</v>
      </c>
      <c r="E60" s="10" t="s">
        <v>17</v>
      </c>
      <c r="F60" s="30" t="s">
        <v>73</v>
      </c>
      <c r="G60" s="31">
        <v>0.31</v>
      </c>
      <c r="H60" s="32">
        <v>0.22</v>
      </c>
      <c r="I60" s="21" t="s">
        <v>19</v>
      </c>
      <c r="J60" s="21" t="s">
        <v>19</v>
      </c>
      <c r="K60" s="21" t="s">
        <v>19</v>
      </c>
      <c r="L60" s="21" t="s">
        <v>19</v>
      </c>
      <c r="M60" s="21" t="s">
        <v>19</v>
      </c>
      <c r="N60" s="17">
        <v>230</v>
      </c>
      <c r="O60" s="18">
        <v>0.68</v>
      </c>
    </row>
    <row r="61" spans="1:15" ht="17.399999999999999" x14ac:dyDescent="0.3">
      <c r="A61" s="7">
        <v>55</v>
      </c>
      <c r="B61" s="8" t="str">
        <f>HYPERLINK("https://webapp.icbf.com/v2/app/bull-search/view/1041680334","OET   ")</f>
        <v xml:space="preserve">OET   </v>
      </c>
      <c r="C61" s="9" t="s">
        <v>82</v>
      </c>
      <c r="D61" s="10" t="s">
        <v>45</v>
      </c>
      <c r="E61" s="10" t="s">
        <v>27</v>
      </c>
      <c r="F61" s="30" t="s">
        <v>73</v>
      </c>
      <c r="G61" s="31">
        <v>0.31</v>
      </c>
      <c r="H61" s="32">
        <v>0.46</v>
      </c>
      <c r="I61" s="21">
        <v>19</v>
      </c>
      <c r="J61" s="21">
        <v>22</v>
      </c>
      <c r="K61" s="21">
        <v>494</v>
      </c>
      <c r="L61" s="22">
        <v>9.0999999999999998E-2</v>
      </c>
      <c r="M61" s="22">
        <v>5.0999999999999997E-2</v>
      </c>
      <c r="N61" s="17">
        <v>225</v>
      </c>
      <c r="O61" s="18">
        <v>0.87</v>
      </c>
    </row>
    <row r="62" spans="1:15" ht="17.399999999999999" x14ac:dyDescent="0.3">
      <c r="A62" s="7">
        <v>56</v>
      </c>
      <c r="B62" s="8" t="str">
        <f>HYPERLINK("https://webapp.icbf.com/v2/app/bull-search/view/1037576594","YKZ   ")</f>
        <v xml:space="preserve">YKZ   </v>
      </c>
      <c r="C62" s="9" t="s">
        <v>83</v>
      </c>
      <c r="D62" s="10" t="s">
        <v>45</v>
      </c>
      <c r="E62" s="10" t="s">
        <v>21</v>
      </c>
      <c r="F62" s="30" t="s">
        <v>73</v>
      </c>
      <c r="G62" s="31">
        <v>0.31</v>
      </c>
      <c r="H62" s="32">
        <v>0.44</v>
      </c>
      <c r="I62" s="21">
        <v>33</v>
      </c>
      <c r="J62" s="21">
        <v>51</v>
      </c>
      <c r="K62" s="21">
        <v>383</v>
      </c>
      <c r="L62" s="23">
        <v>0.16</v>
      </c>
      <c r="M62" s="23">
        <v>0.14000000000000001</v>
      </c>
      <c r="N62" s="17">
        <v>226</v>
      </c>
      <c r="O62" s="18">
        <v>0.92</v>
      </c>
    </row>
    <row r="63" spans="1:15" ht="17.399999999999999" x14ac:dyDescent="0.3">
      <c r="A63" s="7">
        <v>57</v>
      </c>
      <c r="B63" s="8" t="str">
        <f>HYPERLINK("https://webapp.icbf.com/v2/app/bull-search/view/1240483347","FR2325")</f>
        <v>FR2325</v>
      </c>
      <c r="C63" s="9" t="s">
        <v>84</v>
      </c>
      <c r="D63" s="10" t="s">
        <v>45</v>
      </c>
      <c r="E63" s="10" t="s">
        <v>17</v>
      </c>
      <c r="F63" s="30" t="s">
        <v>73</v>
      </c>
      <c r="G63" s="31">
        <v>0.31</v>
      </c>
      <c r="H63" s="32">
        <v>0.43</v>
      </c>
      <c r="I63" s="21">
        <v>37</v>
      </c>
      <c r="J63" s="21">
        <v>53</v>
      </c>
      <c r="K63" s="21">
        <v>643</v>
      </c>
      <c r="L63" s="22">
        <v>5.7000000000000002E-2</v>
      </c>
      <c r="M63" s="22">
        <v>6.0999999999999999E-2</v>
      </c>
      <c r="N63" s="17">
        <v>202</v>
      </c>
      <c r="O63" s="18">
        <v>0.92</v>
      </c>
    </row>
    <row r="64" spans="1:15" ht="17.399999999999999" x14ac:dyDescent="0.3">
      <c r="A64" s="7">
        <v>58</v>
      </c>
      <c r="B64" s="8" t="str">
        <f>HYPERLINK("https://webapp.icbf.com/v2/app/bull-search/view/1251459771","FR4021")</f>
        <v>FR4021</v>
      </c>
      <c r="C64" s="9" t="s">
        <v>85</v>
      </c>
      <c r="D64" s="10" t="s">
        <v>45</v>
      </c>
      <c r="E64" s="10" t="s">
        <v>27</v>
      </c>
      <c r="F64" s="30" t="s">
        <v>73</v>
      </c>
      <c r="G64" s="31">
        <v>0.31</v>
      </c>
      <c r="H64" s="32">
        <v>0.52</v>
      </c>
      <c r="I64" s="21">
        <v>140</v>
      </c>
      <c r="J64" s="21">
        <v>220</v>
      </c>
      <c r="K64" s="21">
        <v>2539</v>
      </c>
      <c r="L64" s="22">
        <v>9.0999999999999998E-2</v>
      </c>
      <c r="M64" s="22">
        <v>7.0999999999999994E-2</v>
      </c>
      <c r="N64" s="17">
        <v>213</v>
      </c>
      <c r="O64" s="18">
        <v>0.91</v>
      </c>
    </row>
    <row r="65" spans="1:15" ht="17.399999999999999" x14ac:dyDescent="0.3">
      <c r="A65" s="7">
        <v>59</v>
      </c>
      <c r="B65" s="8" t="str">
        <f>HYPERLINK("https://webapp.icbf.com/v2/app/bull-search/view/1846314408","FR6844")</f>
        <v>FR6844</v>
      </c>
      <c r="C65" s="9" t="s">
        <v>86</v>
      </c>
      <c r="D65" s="10" t="s">
        <v>45</v>
      </c>
      <c r="E65" s="10" t="s">
        <v>27</v>
      </c>
      <c r="F65" s="30" t="s">
        <v>73</v>
      </c>
      <c r="G65" s="31">
        <v>0.31</v>
      </c>
      <c r="H65" s="32">
        <v>0.28000000000000003</v>
      </c>
      <c r="I65" s="21" t="s">
        <v>19</v>
      </c>
      <c r="J65" s="21" t="s">
        <v>19</v>
      </c>
      <c r="K65" s="21" t="s">
        <v>19</v>
      </c>
      <c r="L65" s="21" t="s">
        <v>19</v>
      </c>
      <c r="M65" s="21" t="s">
        <v>19</v>
      </c>
      <c r="N65" s="17">
        <v>316</v>
      </c>
      <c r="O65" s="18">
        <v>0.5</v>
      </c>
    </row>
    <row r="66" spans="1:15" ht="17.399999999999999" x14ac:dyDescent="0.3">
      <c r="A66" s="7">
        <v>60</v>
      </c>
      <c r="B66" s="8" t="str">
        <f>HYPERLINK("https://webapp.icbf.com/v2/app/bull-search/view/1608587422","FR4711")</f>
        <v>FR4711</v>
      </c>
      <c r="C66" s="9" t="s">
        <v>87</v>
      </c>
      <c r="D66" s="10" t="s">
        <v>45</v>
      </c>
      <c r="E66" s="10" t="s">
        <v>21</v>
      </c>
      <c r="F66" s="30" t="s">
        <v>73</v>
      </c>
      <c r="G66" s="31">
        <v>0.31</v>
      </c>
      <c r="H66" s="32">
        <v>0.36</v>
      </c>
      <c r="I66" s="21" t="s">
        <v>19</v>
      </c>
      <c r="J66" s="21" t="s">
        <v>19</v>
      </c>
      <c r="K66" s="21" t="s">
        <v>19</v>
      </c>
      <c r="L66" s="21" t="s">
        <v>19</v>
      </c>
      <c r="M66" s="21" t="s">
        <v>19</v>
      </c>
      <c r="N66" s="17">
        <v>269</v>
      </c>
      <c r="O66" s="18">
        <v>0.64</v>
      </c>
    </row>
    <row r="67" spans="1:15" ht="17.399999999999999" x14ac:dyDescent="0.3">
      <c r="A67" s="7">
        <v>61</v>
      </c>
      <c r="B67" s="8" t="str">
        <f>HYPERLINK("https://webapp.icbf.com/v2/app/bull-search/view/1605440780","FR4751")</f>
        <v>FR4751</v>
      </c>
      <c r="C67" s="9" t="s">
        <v>88</v>
      </c>
      <c r="D67" s="10" t="s">
        <v>45</v>
      </c>
      <c r="E67" s="10" t="s">
        <v>27</v>
      </c>
      <c r="F67" s="30" t="s">
        <v>73</v>
      </c>
      <c r="G67" s="31">
        <v>0.31</v>
      </c>
      <c r="H67" s="32">
        <v>0.32</v>
      </c>
      <c r="I67" s="21" t="s">
        <v>19</v>
      </c>
      <c r="J67" s="21" t="s">
        <v>19</v>
      </c>
      <c r="K67" s="21" t="s">
        <v>19</v>
      </c>
      <c r="L67" s="21" t="s">
        <v>19</v>
      </c>
      <c r="M67" s="21" t="s">
        <v>19</v>
      </c>
      <c r="N67" s="17">
        <v>228</v>
      </c>
      <c r="O67" s="18">
        <v>0.59</v>
      </c>
    </row>
    <row r="68" spans="1:15" ht="17.399999999999999" x14ac:dyDescent="0.3">
      <c r="A68" s="7">
        <v>62</v>
      </c>
      <c r="B68" s="8" t="str">
        <f>HYPERLINK("https://webapp.icbf.com/v2/app/bull-search/view/1276121028","JE4259")</f>
        <v>JE4259</v>
      </c>
      <c r="C68" s="9" t="s">
        <v>89</v>
      </c>
      <c r="D68" s="10" t="s">
        <v>16</v>
      </c>
      <c r="E68" s="10" t="s">
        <v>17</v>
      </c>
      <c r="F68" s="30" t="s">
        <v>73</v>
      </c>
      <c r="G68" s="31">
        <v>0.31</v>
      </c>
      <c r="H68" s="32">
        <v>0.38</v>
      </c>
      <c r="I68" s="21" t="s">
        <v>19</v>
      </c>
      <c r="J68" s="21" t="s">
        <v>19</v>
      </c>
      <c r="K68" s="21" t="s">
        <v>19</v>
      </c>
      <c r="L68" s="21" t="s">
        <v>19</v>
      </c>
      <c r="M68" s="21" t="s">
        <v>19</v>
      </c>
      <c r="N68" s="17">
        <v>219</v>
      </c>
      <c r="O68" s="18">
        <v>0.76</v>
      </c>
    </row>
    <row r="69" spans="1:15" ht="17.399999999999999" x14ac:dyDescent="0.3">
      <c r="A69" s="7">
        <v>63</v>
      </c>
      <c r="B69" s="8" t="str">
        <f>HYPERLINK("https://webapp.icbf.com/v2/app/bull-search/view/1603432106","FR4721")</f>
        <v>FR4721</v>
      </c>
      <c r="C69" s="9" t="s">
        <v>90</v>
      </c>
      <c r="D69" s="10" t="s">
        <v>45</v>
      </c>
      <c r="E69" s="10" t="s">
        <v>27</v>
      </c>
      <c r="F69" s="30" t="s">
        <v>73</v>
      </c>
      <c r="G69" s="31">
        <v>0.31</v>
      </c>
      <c r="H69" s="32">
        <v>0.37</v>
      </c>
      <c r="I69" s="21" t="s">
        <v>19</v>
      </c>
      <c r="J69" s="21" t="s">
        <v>19</v>
      </c>
      <c r="K69" s="21" t="s">
        <v>19</v>
      </c>
      <c r="L69" s="21" t="s">
        <v>19</v>
      </c>
      <c r="M69" s="21" t="s">
        <v>19</v>
      </c>
      <c r="N69" s="17">
        <v>246</v>
      </c>
      <c r="O69" s="18">
        <v>0.64</v>
      </c>
    </row>
    <row r="70" spans="1:15" ht="17.399999999999999" x14ac:dyDescent="0.3">
      <c r="A70" s="7">
        <v>64</v>
      </c>
      <c r="B70" s="8" t="str">
        <f>HYPERLINK("https://webapp.icbf.com/v2/app/bull-search/view/1729465134","FR6244")</f>
        <v>FR6244</v>
      </c>
      <c r="C70" s="9" t="s">
        <v>91</v>
      </c>
      <c r="D70" s="10" t="s">
        <v>45</v>
      </c>
      <c r="E70" s="10" t="s">
        <v>21</v>
      </c>
      <c r="F70" s="30" t="s">
        <v>73</v>
      </c>
      <c r="G70" s="31">
        <v>0.31</v>
      </c>
      <c r="H70" s="32">
        <v>0.23</v>
      </c>
      <c r="I70" s="21" t="s">
        <v>19</v>
      </c>
      <c r="J70" s="21" t="s">
        <v>19</v>
      </c>
      <c r="K70" s="21" t="s">
        <v>19</v>
      </c>
      <c r="L70" s="21" t="s">
        <v>19</v>
      </c>
      <c r="M70" s="21" t="s">
        <v>19</v>
      </c>
      <c r="N70" s="17">
        <v>251</v>
      </c>
      <c r="O70" s="18">
        <v>0.52</v>
      </c>
    </row>
    <row r="71" spans="1:15" ht="17.399999999999999" x14ac:dyDescent="0.3">
      <c r="A71" s="7">
        <v>65</v>
      </c>
      <c r="B71" s="8" t="str">
        <f>HYPERLINK("https://webapp.icbf.com/v2/app/bull-search/view/1869685919","FR6814")</f>
        <v>FR6814</v>
      </c>
      <c r="C71" s="9" t="s">
        <v>92</v>
      </c>
      <c r="D71" s="10" t="s">
        <v>45</v>
      </c>
      <c r="E71" s="10" t="s">
        <v>27</v>
      </c>
      <c r="F71" s="30" t="s">
        <v>73</v>
      </c>
      <c r="G71" s="31">
        <v>0.31</v>
      </c>
      <c r="H71" s="32">
        <v>0.28000000000000003</v>
      </c>
      <c r="I71" s="21" t="s">
        <v>19</v>
      </c>
      <c r="J71" s="21" t="s">
        <v>19</v>
      </c>
      <c r="K71" s="21" t="s">
        <v>19</v>
      </c>
      <c r="L71" s="21" t="s">
        <v>19</v>
      </c>
      <c r="M71" s="21" t="s">
        <v>19</v>
      </c>
      <c r="N71" s="17">
        <v>326</v>
      </c>
      <c r="O71" s="18">
        <v>0.51</v>
      </c>
    </row>
    <row r="72" spans="1:15" ht="17.399999999999999" x14ac:dyDescent="0.3">
      <c r="A72" s="7">
        <v>66</v>
      </c>
      <c r="B72" s="8" t="str">
        <f>HYPERLINK("https://webapp.icbf.com/v2/app/bull-search/view/1046709523","YKA   ")</f>
        <v xml:space="preserve">YKA   </v>
      </c>
      <c r="C72" s="9" t="s">
        <v>93</v>
      </c>
      <c r="D72" s="10" t="s">
        <v>45</v>
      </c>
      <c r="E72" s="10" t="s">
        <v>27</v>
      </c>
      <c r="F72" s="30" t="s">
        <v>73</v>
      </c>
      <c r="G72" s="31">
        <v>0.31</v>
      </c>
      <c r="H72" s="32">
        <v>0.48</v>
      </c>
      <c r="I72" s="21">
        <v>51</v>
      </c>
      <c r="J72" s="21">
        <v>88</v>
      </c>
      <c r="K72" s="21">
        <v>796</v>
      </c>
      <c r="L72" s="23">
        <v>0.23</v>
      </c>
      <c r="M72" s="23">
        <v>0.1</v>
      </c>
      <c r="N72" s="17">
        <v>266</v>
      </c>
      <c r="O72" s="18">
        <v>0.93</v>
      </c>
    </row>
    <row r="73" spans="1:15" ht="17.399999999999999" x14ac:dyDescent="0.3">
      <c r="A73" s="7">
        <v>67</v>
      </c>
      <c r="B73" s="8" t="str">
        <f>HYPERLINK("https://webapp.icbf.com/v2/app/bull-search/view/1727397268","FR6265")</f>
        <v>FR6265</v>
      </c>
      <c r="C73" s="9" t="s">
        <v>94</v>
      </c>
      <c r="D73" s="10" t="s">
        <v>45</v>
      </c>
      <c r="E73" s="10" t="s">
        <v>17</v>
      </c>
      <c r="F73" s="30" t="s">
        <v>73</v>
      </c>
      <c r="G73" s="31">
        <v>0.31</v>
      </c>
      <c r="H73" s="32">
        <v>0.28999999999999998</v>
      </c>
      <c r="I73" s="21" t="s">
        <v>19</v>
      </c>
      <c r="J73" s="21" t="s">
        <v>19</v>
      </c>
      <c r="K73" s="21" t="s">
        <v>19</v>
      </c>
      <c r="L73" s="21" t="s">
        <v>19</v>
      </c>
      <c r="M73" s="21" t="s">
        <v>19</v>
      </c>
      <c r="N73" s="17">
        <v>282</v>
      </c>
      <c r="O73" s="18">
        <v>0.52</v>
      </c>
    </row>
    <row r="74" spans="1:15" ht="17.399999999999999" x14ac:dyDescent="0.3">
      <c r="A74" s="7">
        <v>68</v>
      </c>
      <c r="B74" s="8" t="str">
        <f>HYPERLINK("https://webapp.icbf.com/v2/app/bull-search/view/1276138839","FR5097")</f>
        <v>FR5097</v>
      </c>
      <c r="C74" s="9" t="s">
        <v>95</v>
      </c>
      <c r="D74" s="10" t="s">
        <v>45</v>
      </c>
      <c r="E74" s="10" t="s">
        <v>17</v>
      </c>
      <c r="F74" s="30" t="s">
        <v>73</v>
      </c>
      <c r="G74" s="31">
        <v>0.31</v>
      </c>
      <c r="H74" s="32">
        <v>0.2</v>
      </c>
      <c r="I74" s="21" t="s">
        <v>19</v>
      </c>
      <c r="J74" s="21" t="s">
        <v>19</v>
      </c>
      <c r="K74" s="21" t="s">
        <v>19</v>
      </c>
      <c r="L74" s="21" t="s">
        <v>19</v>
      </c>
      <c r="M74" s="21" t="s">
        <v>19</v>
      </c>
      <c r="N74" s="17">
        <v>208</v>
      </c>
      <c r="O74" s="18">
        <v>0.67</v>
      </c>
    </row>
    <row r="75" spans="1:15" ht="17.399999999999999" x14ac:dyDescent="0.3">
      <c r="A75" s="7">
        <v>69</v>
      </c>
      <c r="B75" s="8" t="str">
        <f>HYPERLINK("https://webapp.icbf.com/v2/app/bull-search/view/1730044644","FR6049")</f>
        <v>FR6049</v>
      </c>
      <c r="C75" s="9" t="s">
        <v>96</v>
      </c>
      <c r="D75" s="10" t="s">
        <v>45</v>
      </c>
      <c r="E75" s="10" t="s">
        <v>17</v>
      </c>
      <c r="F75" s="30" t="s">
        <v>73</v>
      </c>
      <c r="G75" s="31">
        <v>0.31</v>
      </c>
      <c r="H75" s="32">
        <v>0.37</v>
      </c>
      <c r="I75" s="21" t="s">
        <v>19</v>
      </c>
      <c r="J75" s="21" t="s">
        <v>19</v>
      </c>
      <c r="K75" s="21" t="s">
        <v>19</v>
      </c>
      <c r="L75" s="21" t="s">
        <v>19</v>
      </c>
      <c r="M75" s="21" t="s">
        <v>19</v>
      </c>
      <c r="N75" s="17">
        <v>278</v>
      </c>
      <c r="O75" s="18">
        <v>0.62</v>
      </c>
    </row>
    <row r="76" spans="1:15" ht="17.399999999999999" x14ac:dyDescent="0.3">
      <c r="A76" s="7">
        <v>70</v>
      </c>
      <c r="B76" s="8" t="str">
        <f>HYPERLINK("https://webapp.icbf.com/v2/app/bull-search/view/1478890625","FR4571")</f>
        <v>FR4571</v>
      </c>
      <c r="C76" s="9" t="s">
        <v>97</v>
      </c>
      <c r="D76" s="10" t="s">
        <v>45</v>
      </c>
      <c r="E76" s="10" t="s">
        <v>17</v>
      </c>
      <c r="F76" s="30" t="s">
        <v>73</v>
      </c>
      <c r="G76" s="31">
        <v>0.31</v>
      </c>
      <c r="H76" s="32">
        <v>0.32</v>
      </c>
      <c r="I76" s="21">
        <v>1</v>
      </c>
      <c r="J76" s="21">
        <v>1</v>
      </c>
      <c r="K76" s="21">
        <v>9</v>
      </c>
      <c r="L76" s="22">
        <v>0</v>
      </c>
      <c r="M76" s="23">
        <v>0.11</v>
      </c>
      <c r="N76" s="17">
        <v>253</v>
      </c>
      <c r="O76" s="18">
        <v>0.64</v>
      </c>
    </row>
    <row r="77" spans="1:15" ht="17.399999999999999" x14ac:dyDescent="0.3">
      <c r="A77" s="7">
        <v>71</v>
      </c>
      <c r="B77" s="8" t="str">
        <f>HYPERLINK("https://webapp.icbf.com/v2/app/bull-search/view/1751006914","NR5881")</f>
        <v>NR5881</v>
      </c>
      <c r="C77" s="9" t="s">
        <v>98</v>
      </c>
      <c r="D77" s="10" t="s">
        <v>99</v>
      </c>
      <c r="E77" s="10" t="s">
        <v>21</v>
      </c>
      <c r="F77" s="30" t="s">
        <v>73</v>
      </c>
      <c r="G77" s="31">
        <v>0.31</v>
      </c>
      <c r="H77" s="32">
        <v>0.2</v>
      </c>
      <c r="I77" s="21" t="s">
        <v>19</v>
      </c>
      <c r="J77" s="21" t="s">
        <v>19</v>
      </c>
      <c r="K77" s="21" t="s">
        <v>19</v>
      </c>
      <c r="L77" s="21" t="s">
        <v>19</v>
      </c>
      <c r="M77" s="21" t="s">
        <v>19</v>
      </c>
      <c r="N77" s="17">
        <v>264</v>
      </c>
      <c r="O77" s="18">
        <v>0.69</v>
      </c>
    </row>
    <row r="78" spans="1:15" ht="17.399999999999999" x14ac:dyDescent="0.3">
      <c r="A78" s="7">
        <v>72</v>
      </c>
      <c r="B78" s="8" t="str">
        <f>HYPERLINK("https://webapp.icbf.com/v2/app/bull-search/view/1603439944","FR4724")</f>
        <v>FR4724</v>
      </c>
      <c r="C78" s="9" t="s">
        <v>100</v>
      </c>
      <c r="D78" s="10" t="s">
        <v>45</v>
      </c>
      <c r="E78" s="10" t="s">
        <v>21</v>
      </c>
      <c r="F78" s="30" t="s">
        <v>73</v>
      </c>
      <c r="G78" s="31">
        <v>0.31</v>
      </c>
      <c r="H78" s="32">
        <v>0.33</v>
      </c>
      <c r="I78" s="21" t="s">
        <v>19</v>
      </c>
      <c r="J78" s="21" t="s">
        <v>19</v>
      </c>
      <c r="K78" s="21" t="s">
        <v>19</v>
      </c>
      <c r="L78" s="21" t="s">
        <v>19</v>
      </c>
      <c r="M78" s="21" t="s">
        <v>19</v>
      </c>
      <c r="N78" s="17">
        <v>222</v>
      </c>
      <c r="O78" s="18">
        <v>0.64</v>
      </c>
    </row>
    <row r="79" spans="1:15" ht="17.399999999999999" x14ac:dyDescent="0.3">
      <c r="A79" s="7">
        <v>73</v>
      </c>
      <c r="B79" s="8" t="str">
        <f>HYPERLINK("https://webapp.icbf.com/v2/app/bull-search/view/1861655581","JE7164")</f>
        <v>JE7164</v>
      </c>
      <c r="C79" s="9" t="s">
        <v>101</v>
      </c>
      <c r="D79" s="10" t="s">
        <v>16</v>
      </c>
      <c r="E79" s="10" t="s">
        <v>27</v>
      </c>
      <c r="F79" s="30" t="s">
        <v>73</v>
      </c>
      <c r="G79" s="31">
        <v>0.31</v>
      </c>
      <c r="H79" s="32">
        <v>0.28000000000000003</v>
      </c>
      <c r="I79" s="21" t="s">
        <v>19</v>
      </c>
      <c r="J79" s="21" t="s">
        <v>19</v>
      </c>
      <c r="K79" s="21" t="s">
        <v>19</v>
      </c>
      <c r="L79" s="21" t="s">
        <v>19</v>
      </c>
      <c r="M79" s="21" t="s">
        <v>19</v>
      </c>
      <c r="N79" s="17">
        <v>290</v>
      </c>
      <c r="O79" s="18">
        <v>0.54</v>
      </c>
    </row>
    <row r="80" spans="1:15" ht="17.399999999999999" x14ac:dyDescent="0.3">
      <c r="A80" s="7">
        <v>74</v>
      </c>
      <c r="B80" s="8" t="str">
        <f>HYPERLINK("https://webapp.icbf.com/v2/app/bull-search/view/1731740636","FR6055")</f>
        <v>FR6055</v>
      </c>
      <c r="C80" s="9" t="s">
        <v>102</v>
      </c>
      <c r="D80" s="10" t="s">
        <v>45</v>
      </c>
      <c r="E80" s="10" t="s">
        <v>17</v>
      </c>
      <c r="F80" s="30" t="s">
        <v>73</v>
      </c>
      <c r="G80" s="31">
        <v>0.31</v>
      </c>
      <c r="H80" s="32">
        <v>0.38</v>
      </c>
      <c r="I80" s="21" t="s">
        <v>19</v>
      </c>
      <c r="J80" s="21" t="s">
        <v>19</v>
      </c>
      <c r="K80" s="21" t="s">
        <v>19</v>
      </c>
      <c r="L80" s="21" t="s">
        <v>19</v>
      </c>
      <c r="M80" s="21" t="s">
        <v>19</v>
      </c>
      <c r="N80" s="17">
        <v>238</v>
      </c>
      <c r="O80" s="18">
        <v>0.61</v>
      </c>
    </row>
    <row r="81" spans="1:15" ht="17.399999999999999" x14ac:dyDescent="0.3">
      <c r="A81" s="7">
        <v>75</v>
      </c>
      <c r="B81" s="8" t="str">
        <f>HYPERLINK("https://webapp.icbf.com/v2/app/bull-search/view/1865914135","FR7158")</f>
        <v>FR7158</v>
      </c>
      <c r="C81" s="9" t="s">
        <v>103</v>
      </c>
      <c r="D81" s="10" t="s">
        <v>45</v>
      </c>
      <c r="E81" s="10" t="s">
        <v>27</v>
      </c>
      <c r="F81" s="30" t="s">
        <v>73</v>
      </c>
      <c r="G81" s="31">
        <v>0.31</v>
      </c>
      <c r="H81" s="32">
        <v>0.26</v>
      </c>
      <c r="I81" s="21" t="s">
        <v>19</v>
      </c>
      <c r="J81" s="21" t="s">
        <v>19</v>
      </c>
      <c r="K81" s="21" t="s">
        <v>19</v>
      </c>
      <c r="L81" s="21" t="s">
        <v>19</v>
      </c>
      <c r="M81" s="21" t="s">
        <v>19</v>
      </c>
      <c r="N81" s="17">
        <v>265</v>
      </c>
      <c r="O81" s="18">
        <v>0.5</v>
      </c>
    </row>
    <row r="82" spans="1:15" ht="17.399999999999999" x14ac:dyDescent="0.3">
      <c r="A82" s="7">
        <v>76</v>
      </c>
      <c r="B82" s="8" t="str">
        <f>HYPERLINK("https://webapp.icbf.com/v2/app/bull-search/view/1607873984","JE4890")</f>
        <v>JE4890</v>
      </c>
      <c r="C82" s="9" t="s">
        <v>104</v>
      </c>
      <c r="D82" s="10" t="s">
        <v>16</v>
      </c>
      <c r="E82" s="10" t="s">
        <v>62</v>
      </c>
      <c r="F82" s="30" t="s">
        <v>73</v>
      </c>
      <c r="G82" s="31">
        <v>0.31</v>
      </c>
      <c r="H82" s="32">
        <v>0.23</v>
      </c>
      <c r="I82" s="21" t="s">
        <v>19</v>
      </c>
      <c r="J82" s="21" t="s">
        <v>19</v>
      </c>
      <c r="K82" s="21" t="s">
        <v>19</v>
      </c>
      <c r="L82" s="21" t="s">
        <v>19</v>
      </c>
      <c r="M82" s="21" t="s">
        <v>19</v>
      </c>
      <c r="N82" s="17">
        <v>271</v>
      </c>
      <c r="O82" s="18">
        <v>0.57999999999999996</v>
      </c>
    </row>
    <row r="83" spans="1:15" ht="17.399999999999999" x14ac:dyDescent="0.3">
      <c r="A83" s="7">
        <v>77</v>
      </c>
      <c r="B83" s="8" t="str">
        <f>HYPERLINK("https://webapp.icbf.com/v2/app/bull-search/view/1354260650","FR4172")</f>
        <v>FR4172</v>
      </c>
      <c r="C83" s="9" t="s">
        <v>105</v>
      </c>
      <c r="D83" s="10" t="s">
        <v>45</v>
      </c>
      <c r="E83" s="10" t="s">
        <v>27</v>
      </c>
      <c r="F83" s="30" t="s">
        <v>73</v>
      </c>
      <c r="G83" s="31">
        <v>0.31</v>
      </c>
      <c r="H83" s="32">
        <v>0.4</v>
      </c>
      <c r="I83" s="21">
        <v>35</v>
      </c>
      <c r="J83" s="21">
        <v>65</v>
      </c>
      <c r="K83" s="21">
        <v>841</v>
      </c>
      <c r="L83" s="23">
        <v>0.15</v>
      </c>
      <c r="M83" s="22">
        <v>4.2000000000000003E-2</v>
      </c>
      <c r="N83" s="17">
        <v>209</v>
      </c>
      <c r="O83" s="18">
        <v>0.81</v>
      </c>
    </row>
    <row r="84" spans="1:15" ht="17.399999999999999" x14ac:dyDescent="0.3">
      <c r="A84" s="7">
        <v>78</v>
      </c>
      <c r="B84" s="8" t="str">
        <f>HYPERLINK("https://webapp.icbf.com/v2/app/bull-search/view/1353403288","FR4207")</f>
        <v>FR4207</v>
      </c>
      <c r="C84" s="9" t="s">
        <v>106</v>
      </c>
      <c r="D84" s="10" t="s">
        <v>45</v>
      </c>
      <c r="E84" s="10" t="s">
        <v>27</v>
      </c>
      <c r="F84" s="30" t="s">
        <v>73</v>
      </c>
      <c r="G84" s="31">
        <v>0.31</v>
      </c>
      <c r="H84" s="32">
        <v>0.42</v>
      </c>
      <c r="I84" s="21">
        <v>31</v>
      </c>
      <c r="J84" s="21">
        <v>48</v>
      </c>
      <c r="K84" s="21">
        <v>653</v>
      </c>
      <c r="L84" s="22">
        <v>6.3E-2</v>
      </c>
      <c r="M84" s="22">
        <v>4.2999999999999997E-2</v>
      </c>
      <c r="N84" s="17">
        <v>233</v>
      </c>
      <c r="O84" s="18">
        <v>0.82</v>
      </c>
    </row>
    <row r="85" spans="1:15" ht="17.399999999999999" x14ac:dyDescent="0.3">
      <c r="A85" s="7">
        <v>79</v>
      </c>
      <c r="B85" s="8" t="str">
        <f>HYPERLINK("https://webapp.icbf.com/v2/app/bull-search/view/1864394260","JE6694")</f>
        <v>JE6694</v>
      </c>
      <c r="C85" s="9" t="s">
        <v>107</v>
      </c>
      <c r="D85" s="10" t="s">
        <v>45</v>
      </c>
      <c r="E85" s="10" t="s">
        <v>62</v>
      </c>
      <c r="F85" s="30" t="s">
        <v>73</v>
      </c>
      <c r="G85" s="31">
        <v>0.31</v>
      </c>
      <c r="H85" s="32">
        <v>0.2</v>
      </c>
      <c r="I85" s="21" t="s">
        <v>19</v>
      </c>
      <c r="J85" s="21" t="s">
        <v>19</v>
      </c>
      <c r="K85" s="21" t="s">
        <v>19</v>
      </c>
      <c r="L85" s="21" t="s">
        <v>19</v>
      </c>
      <c r="M85" s="21" t="s">
        <v>19</v>
      </c>
      <c r="N85" s="17">
        <v>337</v>
      </c>
      <c r="O85" s="18">
        <v>0.48</v>
      </c>
    </row>
    <row r="86" spans="1:15" ht="17.399999999999999" x14ac:dyDescent="0.3">
      <c r="A86" s="7">
        <v>80</v>
      </c>
      <c r="B86" s="8" t="str">
        <f>HYPERLINK("https://webapp.icbf.com/v2/app/bull-search/view/1144286248","FR2036")</f>
        <v>FR2036</v>
      </c>
      <c r="C86" s="9" t="s">
        <v>108</v>
      </c>
      <c r="D86" s="10" t="s">
        <v>45</v>
      </c>
      <c r="E86" s="10" t="s">
        <v>27</v>
      </c>
      <c r="F86" s="30" t="s">
        <v>73</v>
      </c>
      <c r="G86" s="31">
        <v>0.31</v>
      </c>
      <c r="H86" s="32">
        <v>0.55000000000000004</v>
      </c>
      <c r="I86" s="21">
        <v>136</v>
      </c>
      <c r="J86" s="21">
        <v>184</v>
      </c>
      <c r="K86" s="21">
        <v>2418</v>
      </c>
      <c r="L86" s="22">
        <v>6.5000000000000002E-2</v>
      </c>
      <c r="M86" s="22">
        <v>8.4000000000000005E-2</v>
      </c>
      <c r="N86" s="17">
        <v>224</v>
      </c>
      <c r="O86" s="18">
        <v>0.94</v>
      </c>
    </row>
    <row r="87" spans="1:15" ht="17.399999999999999" x14ac:dyDescent="0.3">
      <c r="A87" s="7">
        <v>81</v>
      </c>
      <c r="B87" s="8" t="str">
        <f>HYPERLINK("https://webapp.icbf.com/v2/app/bull-search/view/1352019920","FR4154")</f>
        <v>FR4154</v>
      </c>
      <c r="C87" s="9" t="s">
        <v>109</v>
      </c>
      <c r="D87" s="10" t="s">
        <v>45</v>
      </c>
      <c r="E87" s="10" t="s">
        <v>21</v>
      </c>
      <c r="F87" s="30" t="s">
        <v>73</v>
      </c>
      <c r="G87" s="31">
        <v>0.31</v>
      </c>
      <c r="H87" s="32">
        <v>0.44</v>
      </c>
      <c r="I87" s="21">
        <v>36</v>
      </c>
      <c r="J87" s="21">
        <v>64</v>
      </c>
      <c r="K87" s="21">
        <v>672</v>
      </c>
      <c r="L87" s="22">
        <v>3.1E-2</v>
      </c>
      <c r="M87" s="22">
        <v>5.5E-2</v>
      </c>
      <c r="N87" s="17">
        <v>235</v>
      </c>
      <c r="O87" s="18">
        <v>0.85</v>
      </c>
    </row>
    <row r="88" spans="1:15" ht="17.399999999999999" x14ac:dyDescent="0.3">
      <c r="A88" s="7">
        <v>82</v>
      </c>
      <c r="B88" s="8" t="str">
        <f>HYPERLINK("https://webapp.icbf.com/v2/app/bull-search/view/1737710938","FR5839")</f>
        <v>FR5839</v>
      </c>
      <c r="C88" s="9" t="s">
        <v>110</v>
      </c>
      <c r="D88" s="10" t="s">
        <v>45</v>
      </c>
      <c r="E88" s="10" t="s">
        <v>21</v>
      </c>
      <c r="F88" s="30" t="s">
        <v>73</v>
      </c>
      <c r="G88" s="31">
        <v>0.31</v>
      </c>
      <c r="H88" s="32">
        <v>0.27</v>
      </c>
      <c r="I88" s="21" t="s">
        <v>19</v>
      </c>
      <c r="J88" s="21" t="s">
        <v>19</v>
      </c>
      <c r="K88" s="21" t="s">
        <v>19</v>
      </c>
      <c r="L88" s="21" t="s">
        <v>19</v>
      </c>
      <c r="M88" s="21" t="s">
        <v>19</v>
      </c>
      <c r="N88" s="17">
        <v>275</v>
      </c>
      <c r="O88" s="18">
        <v>0.54</v>
      </c>
    </row>
    <row r="89" spans="1:15" ht="17.399999999999999" x14ac:dyDescent="0.3">
      <c r="A89" s="7">
        <v>83</v>
      </c>
      <c r="B89" s="8" t="str">
        <f>HYPERLINK("https://webapp.icbf.com/v2/app/bull-search/view/1037871706","FJM   ")</f>
        <v xml:space="preserve">FJM   </v>
      </c>
      <c r="C89" s="9" t="s">
        <v>111</v>
      </c>
      <c r="D89" s="10" t="s">
        <v>45</v>
      </c>
      <c r="E89" s="10" t="s">
        <v>21</v>
      </c>
      <c r="F89" s="30" t="s">
        <v>73</v>
      </c>
      <c r="G89" s="31">
        <v>0.31</v>
      </c>
      <c r="H89" s="32">
        <v>0.56999999999999995</v>
      </c>
      <c r="I89" s="21">
        <v>116</v>
      </c>
      <c r="J89" s="21">
        <v>196</v>
      </c>
      <c r="K89" s="21">
        <v>1845</v>
      </c>
      <c r="L89" s="23">
        <v>0.11</v>
      </c>
      <c r="M89" s="23">
        <v>0.11</v>
      </c>
      <c r="N89" s="17">
        <v>207</v>
      </c>
      <c r="O89" s="18">
        <v>0.96</v>
      </c>
    </row>
    <row r="90" spans="1:15" ht="17.399999999999999" x14ac:dyDescent="0.3">
      <c r="A90" s="7">
        <v>84</v>
      </c>
      <c r="B90" s="8" t="str">
        <f>HYPERLINK("https://webapp.icbf.com/v2/app/bull-search/view/1605563072","FR4830")</f>
        <v>FR4830</v>
      </c>
      <c r="C90" s="9" t="s">
        <v>112</v>
      </c>
      <c r="D90" s="10" t="s">
        <v>45</v>
      </c>
      <c r="E90" s="10" t="s">
        <v>62</v>
      </c>
      <c r="F90" s="30" t="s">
        <v>73</v>
      </c>
      <c r="G90" s="31">
        <v>0.31</v>
      </c>
      <c r="H90" s="32">
        <v>0.35</v>
      </c>
      <c r="I90" s="21" t="s">
        <v>19</v>
      </c>
      <c r="J90" s="21" t="s">
        <v>19</v>
      </c>
      <c r="K90" s="21" t="s">
        <v>19</v>
      </c>
      <c r="L90" s="21" t="s">
        <v>19</v>
      </c>
      <c r="M90" s="21" t="s">
        <v>19</v>
      </c>
      <c r="N90" s="17">
        <v>209</v>
      </c>
      <c r="O90" s="18">
        <v>0.62</v>
      </c>
    </row>
    <row r="91" spans="1:15" ht="17.399999999999999" x14ac:dyDescent="0.3">
      <c r="A91" s="7">
        <v>85</v>
      </c>
      <c r="B91" s="8" t="str">
        <f>HYPERLINK("https://webapp.icbf.com/v2/app/bull-search/view/1043259252","S2117 ")</f>
        <v xml:space="preserve">S2117 </v>
      </c>
      <c r="C91" s="9" t="s">
        <v>113</v>
      </c>
      <c r="D91" s="10" t="s">
        <v>45</v>
      </c>
      <c r="E91" s="10" t="s">
        <v>62</v>
      </c>
      <c r="F91" s="30" t="s">
        <v>73</v>
      </c>
      <c r="G91" s="31">
        <v>0.31</v>
      </c>
      <c r="H91" s="32">
        <v>0.42</v>
      </c>
      <c r="I91" s="21">
        <v>18</v>
      </c>
      <c r="J91" s="21">
        <v>29</v>
      </c>
      <c r="K91" s="21">
        <v>209</v>
      </c>
      <c r="L91" s="23">
        <v>0.14000000000000001</v>
      </c>
      <c r="M91" s="22">
        <v>8.5999999999999993E-2</v>
      </c>
      <c r="N91" s="17">
        <v>223</v>
      </c>
      <c r="O91" s="18">
        <v>0.92</v>
      </c>
    </row>
    <row r="92" spans="1:15" ht="17.399999999999999" x14ac:dyDescent="0.3">
      <c r="A92" s="7">
        <v>86</v>
      </c>
      <c r="B92" s="8" t="str">
        <f>HYPERLINK("https://webapp.icbf.com/v2/app/bull-search/view/1257608299","FR4028")</f>
        <v>FR4028</v>
      </c>
      <c r="C92" s="9" t="s">
        <v>114</v>
      </c>
      <c r="D92" s="10" t="s">
        <v>45</v>
      </c>
      <c r="E92" s="10" t="s">
        <v>27</v>
      </c>
      <c r="F92" s="30" t="s">
        <v>73</v>
      </c>
      <c r="G92" s="31">
        <v>0.31</v>
      </c>
      <c r="H92" s="32">
        <v>0.36</v>
      </c>
      <c r="I92" s="21">
        <v>3</v>
      </c>
      <c r="J92" s="21">
        <v>9</v>
      </c>
      <c r="K92" s="21">
        <v>118</v>
      </c>
      <c r="L92" s="22">
        <v>0</v>
      </c>
      <c r="M92" s="22">
        <v>5.0999999999999997E-2</v>
      </c>
      <c r="N92" s="17">
        <v>228</v>
      </c>
      <c r="O92" s="18">
        <v>0.79</v>
      </c>
    </row>
    <row r="93" spans="1:15" ht="17.399999999999999" x14ac:dyDescent="0.3">
      <c r="A93" s="7">
        <v>87</v>
      </c>
      <c r="B93" s="8" t="str">
        <f>HYPERLINK("https://webapp.icbf.com/v2/app/bull-search/view/1478552739","FR4472")</f>
        <v>FR4472</v>
      </c>
      <c r="C93" s="9" t="s">
        <v>115</v>
      </c>
      <c r="D93" s="10" t="s">
        <v>45</v>
      </c>
      <c r="E93" s="10" t="s">
        <v>21</v>
      </c>
      <c r="F93" s="30" t="s">
        <v>73</v>
      </c>
      <c r="G93" s="31">
        <v>0.31</v>
      </c>
      <c r="H93" s="32">
        <v>0.35</v>
      </c>
      <c r="I93" s="21">
        <v>2</v>
      </c>
      <c r="J93" s="21">
        <v>2</v>
      </c>
      <c r="K93" s="21">
        <v>32</v>
      </c>
      <c r="L93" s="22">
        <v>0</v>
      </c>
      <c r="M93" s="22">
        <v>9.4E-2</v>
      </c>
      <c r="N93" s="17">
        <v>206</v>
      </c>
      <c r="O93" s="18">
        <v>0.66</v>
      </c>
    </row>
    <row r="94" spans="1:15" ht="17.399999999999999" x14ac:dyDescent="0.3">
      <c r="A94" s="7">
        <v>88</v>
      </c>
      <c r="B94" s="8" t="str">
        <f>HYPERLINK("https://webapp.icbf.com/v2/app/bull-search/view/1726426671","FR5860")</f>
        <v>FR5860</v>
      </c>
      <c r="C94" s="9" t="s">
        <v>116</v>
      </c>
      <c r="D94" s="10" t="s">
        <v>45</v>
      </c>
      <c r="E94" s="10" t="s">
        <v>21</v>
      </c>
      <c r="F94" s="30" t="s">
        <v>73</v>
      </c>
      <c r="G94" s="31">
        <v>0.31</v>
      </c>
      <c r="H94" s="32">
        <v>0.32</v>
      </c>
      <c r="I94" s="21" t="s">
        <v>19</v>
      </c>
      <c r="J94" s="21" t="s">
        <v>19</v>
      </c>
      <c r="K94" s="21" t="s">
        <v>19</v>
      </c>
      <c r="L94" s="21" t="s">
        <v>19</v>
      </c>
      <c r="M94" s="21" t="s">
        <v>19</v>
      </c>
      <c r="N94" s="17">
        <v>337</v>
      </c>
      <c r="O94" s="18">
        <v>0.6</v>
      </c>
    </row>
    <row r="95" spans="1:15" ht="17.399999999999999" x14ac:dyDescent="0.3">
      <c r="A95" s="7">
        <v>89</v>
      </c>
      <c r="B95" s="8" t="str">
        <f>HYPERLINK("https://webapp.icbf.com/v2/app/bull-search/view/1734317435","FR6073")</f>
        <v>FR6073</v>
      </c>
      <c r="C95" s="9" t="s">
        <v>117</v>
      </c>
      <c r="D95" s="10" t="s">
        <v>45</v>
      </c>
      <c r="E95" s="10" t="s">
        <v>17</v>
      </c>
      <c r="F95" s="30" t="s">
        <v>73</v>
      </c>
      <c r="G95" s="31">
        <v>0.31</v>
      </c>
      <c r="H95" s="32">
        <v>0.37</v>
      </c>
      <c r="I95" s="21" t="s">
        <v>19</v>
      </c>
      <c r="J95" s="21" t="s">
        <v>19</v>
      </c>
      <c r="K95" s="21" t="s">
        <v>19</v>
      </c>
      <c r="L95" s="21" t="s">
        <v>19</v>
      </c>
      <c r="M95" s="21" t="s">
        <v>19</v>
      </c>
      <c r="N95" s="17">
        <v>279</v>
      </c>
      <c r="O95" s="18">
        <v>0.63</v>
      </c>
    </row>
    <row r="96" spans="1:15" ht="17.399999999999999" x14ac:dyDescent="0.3">
      <c r="A96" s="7">
        <v>90</v>
      </c>
      <c r="B96" s="8" t="str">
        <f>HYPERLINK("https://webapp.icbf.com/v2/app/bull-search/view/1867835242","FR6877")</f>
        <v>FR6877</v>
      </c>
      <c r="C96" s="9" t="s">
        <v>118</v>
      </c>
      <c r="D96" s="10" t="s">
        <v>45</v>
      </c>
      <c r="E96" s="10" t="s">
        <v>21</v>
      </c>
      <c r="F96" s="30" t="s">
        <v>119</v>
      </c>
      <c r="G96" s="31">
        <v>0.31</v>
      </c>
      <c r="H96" s="32">
        <v>0.32</v>
      </c>
      <c r="I96" s="21" t="s">
        <v>19</v>
      </c>
      <c r="J96" s="21" t="s">
        <v>19</v>
      </c>
      <c r="K96" s="21" t="s">
        <v>19</v>
      </c>
      <c r="L96" s="21" t="s">
        <v>19</v>
      </c>
      <c r="M96" s="21" t="s">
        <v>19</v>
      </c>
      <c r="N96" s="17">
        <v>311</v>
      </c>
      <c r="O96" s="18">
        <v>0.53</v>
      </c>
    </row>
    <row r="97" spans="1:15" ht="17.399999999999999" x14ac:dyDescent="0.3">
      <c r="A97" s="7">
        <v>91</v>
      </c>
      <c r="B97" s="8" t="str">
        <f>HYPERLINK("https://webapp.icbf.com/v2/app/bull-search/view/1605555114","FR4713")</f>
        <v>FR4713</v>
      </c>
      <c r="C97" s="9" t="s">
        <v>120</v>
      </c>
      <c r="D97" s="10" t="s">
        <v>45</v>
      </c>
      <c r="E97" s="10" t="s">
        <v>27</v>
      </c>
      <c r="F97" s="30" t="s">
        <v>119</v>
      </c>
      <c r="G97" s="31">
        <v>0.31</v>
      </c>
      <c r="H97" s="32">
        <v>0.39</v>
      </c>
      <c r="I97" s="21" t="s">
        <v>19</v>
      </c>
      <c r="J97" s="21" t="s">
        <v>19</v>
      </c>
      <c r="K97" s="21" t="s">
        <v>19</v>
      </c>
      <c r="L97" s="21" t="s">
        <v>19</v>
      </c>
      <c r="M97" s="21" t="s">
        <v>19</v>
      </c>
      <c r="N97" s="17">
        <v>223</v>
      </c>
      <c r="O97" s="18">
        <v>0.63</v>
      </c>
    </row>
    <row r="98" spans="1:15" ht="17.399999999999999" x14ac:dyDescent="0.3">
      <c r="A98" s="7">
        <v>92</v>
      </c>
      <c r="B98" s="8" t="str">
        <f>HYPERLINK("https://webapp.icbf.com/v2/app/bull-search/view/1851609891","FR6781")</f>
        <v>FR6781</v>
      </c>
      <c r="C98" s="9" t="s">
        <v>121</v>
      </c>
      <c r="D98" s="10" t="s">
        <v>45</v>
      </c>
      <c r="E98" s="10" t="s">
        <v>27</v>
      </c>
      <c r="F98" s="30" t="s">
        <v>119</v>
      </c>
      <c r="G98" s="31">
        <v>0.31</v>
      </c>
      <c r="H98" s="32">
        <v>0.28000000000000003</v>
      </c>
      <c r="I98" s="21" t="s">
        <v>19</v>
      </c>
      <c r="J98" s="21" t="s">
        <v>19</v>
      </c>
      <c r="K98" s="21" t="s">
        <v>19</v>
      </c>
      <c r="L98" s="21" t="s">
        <v>19</v>
      </c>
      <c r="M98" s="21" t="s">
        <v>19</v>
      </c>
      <c r="N98" s="17">
        <v>301</v>
      </c>
      <c r="O98" s="18">
        <v>0.51</v>
      </c>
    </row>
    <row r="99" spans="1:15" ht="17.399999999999999" x14ac:dyDescent="0.3">
      <c r="A99" s="7">
        <v>93</v>
      </c>
      <c r="B99" s="8" t="str">
        <f>HYPERLINK("https://webapp.icbf.com/v2/app/bull-search/view/1103481380","FR2440")</f>
        <v>FR2440</v>
      </c>
      <c r="C99" s="9" t="s">
        <v>122</v>
      </c>
      <c r="D99" s="10" t="s">
        <v>45</v>
      </c>
      <c r="E99" s="10" t="s">
        <v>17</v>
      </c>
      <c r="F99" s="30" t="s">
        <v>119</v>
      </c>
      <c r="G99" s="31">
        <v>0.31</v>
      </c>
      <c r="H99" s="32">
        <v>0.27</v>
      </c>
      <c r="I99" s="21">
        <v>1</v>
      </c>
      <c r="J99" s="21">
        <v>1</v>
      </c>
      <c r="K99" s="21">
        <v>36</v>
      </c>
      <c r="L99" s="22">
        <v>0</v>
      </c>
      <c r="M99" s="21" t="s">
        <v>19</v>
      </c>
      <c r="N99" s="17">
        <v>243</v>
      </c>
      <c r="O99" s="18">
        <v>0.8</v>
      </c>
    </row>
    <row r="100" spans="1:15" ht="17.399999999999999" x14ac:dyDescent="0.3">
      <c r="A100" s="7">
        <v>94</v>
      </c>
      <c r="B100" s="8" t="str">
        <f>HYPERLINK("https://webapp.icbf.com/v2/app/bull-search/view/1040929926","YSC   ")</f>
        <v xml:space="preserve">YSC   </v>
      </c>
      <c r="C100" s="9" t="s">
        <v>123</v>
      </c>
      <c r="D100" s="10" t="s">
        <v>45</v>
      </c>
      <c r="E100" s="10" t="s">
        <v>17</v>
      </c>
      <c r="F100" s="30" t="s">
        <v>119</v>
      </c>
      <c r="G100" s="31">
        <v>0.31</v>
      </c>
      <c r="H100" s="32">
        <v>0.4</v>
      </c>
      <c r="I100" s="21">
        <v>14</v>
      </c>
      <c r="J100" s="21">
        <v>18</v>
      </c>
      <c r="K100" s="21">
        <v>319</v>
      </c>
      <c r="L100" s="23">
        <v>0.28000000000000003</v>
      </c>
      <c r="M100" s="22">
        <v>9.7000000000000003E-2</v>
      </c>
      <c r="N100" s="17">
        <v>236</v>
      </c>
      <c r="O100" s="18">
        <v>0.91</v>
      </c>
    </row>
    <row r="101" spans="1:15" ht="17.399999999999999" x14ac:dyDescent="0.3">
      <c r="A101" s="7">
        <v>95</v>
      </c>
      <c r="B101" s="8" t="str">
        <f>HYPERLINK("https://webapp.icbf.com/v2/app/bull-search/view/1603330360","FR5028")</f>
        <v>FR5028</v>
      </c>
      <c r="C101" s="9" t="s">
        <v>124</v>
      </c>
      <c r="D101" s="10" t="s">
        <v>45</v>
      </c>
      <c r="E101" s="10" t="s">
        <v>27</v>
      </c>
      <c r="F101" s="30" t="s">
        <v>119</v>
      </c>
      <c r="G101" s="31">
        <v>0.31</v>
      </c>
      <c r="H101" s="32">
        <v>0.35</v>
      </c>
      <c r="I101" s="21" t="s">
        <v>19</v>
      </c>
      <c r="J101" s="21" t="s">
        <v>19</v>
      </c>
      <c r="K101" s="21" t="s">
        <v>19</v>
      </c>
      <c r="L101" s="21" t="s">
        <v>19</v>
      </c>
      <c r="M101" s="21" t="s">
        <v>19</v>
      </c>
      <c r="N101" s="17">
        <v>226</v>
      </c>
      <c r="O101" s="18">
        <v>0.59</v>
      </c>
    </row>
    <row r="102" spans="1:15" ht="17.399999999999999" x14ac:dyDescent="0.3">
      <c r="A102" s="7">
        <v>96</v>
      </c>
      <c r="B102" s="8" t="str">
        <f>HYPERLINK("https://webapp.icbf.com/v2/app/bull-search/view/1486892370","FR4338")</f>
        <v>FR4338</v>
      </c>
      <c r="C102" s="9" t="s">
        <v>125</v>
      </c>
      <c r="D102" s="10" t="s">
        <v>45</v>
      </c>
      <c r="E102" s="10" t="s">
        <v>27</v>
      </c>
      <c r="F102" s="30" t="s">
        <v>119</v>
      </c>
      <c r="G102" s="31">
        <v>0.31</v>
      </c>
      <c r="H102" s="32">
        <v>0.37</v>
      </c>
      <c r="I102" s="21">
        <v>3</v>
      </c>
      <c r="J102" s="21">
        <v>4</v>
      </c>
      <c r="K102" s="21">
        <v>93</v>
      </c>
      <c r="L102" s="23">
        <v>0.5</v>
      </c>
      <c r="M102" s="23">
        <v>0.17</v>
      </c>
      <c r="N102" s="17">
        <v>244</v>
      </c>
      <c r="O102" s="18">
        <v>0.69</v>
      </c>
    </row>
    <row r="103" spans="1:15" ht="17.399999999999999" x14ac:dyDescent="0.3">
      <c r="A103" s="7">
        <v>97</v>
      </c>
      <c r="B103" s="8" t="str">
        <f>HYPERLINK("https://webapp.icbf.com/v2/app/bull-search/view/1610105386","FR4845")</f>
        <v>FR4845</v>
      </c>
      <c r="C103" s="9" t="s">
        <v>126</v>
      </c>
      <c r="D103" s="10" t="s">
        <v>45</v>
      </c>
      <c r="E103" s="10" t="s">
        <v>62</v>
      </c>
      <c r="F103" s="30" t="s">
        <v>119</v>
      </c>
      <c r="G103" s="31">
        <v>0.31</v>
      </c>
      <c r="H103" s="32">
        <v>0.3</v>
      </c>
      <c r="I103" s="21" t="s">
        <v>19</v>
      </c>
      <c r="J103" s="21" t="s">
        <v>19</v>
      </c>
      <c r="K103" s="21" t="s">
        <v>19</v>
      </c>
      <c r="L103" s="21" t="s">
        <v>19</v>
      </c>
      <c r="M103" s="21" t="s">
        <v>19</v>
      </c>
      <c r="N103" s="17">
        <v>278</v>
      </c>
      <c r="O103" s="18">
        <v>0.63</v>
      </c>
    </row>
    <row r="104" spans="1:15" ht="17.399999999999999" x14ac:dyDescent="0.3">
      <c r="A104" s="7">
        <v>98</v>
      </c>
      <c r="B104" s="8" t="str">
        <f>HYPERLINK("https://webapp.icbf.com/v2/app/bull-search/view/1476463173","FR4544")</f>
        <v>FR4544</v>
      </c>
      <c r="C104" s="9" t="s">
        <v>127</v>
      </c>
      <c r="D104" s="10" t="s">
        <v>45</v>
      </c>
      <c r="E104" s="10" t="s">
        <v>27</v>
      </c>
      <c r="F104" s="30" t="s">
        <v>119</v>
      </c>
      <c r="G104" s="31">
        <v>0.31</v>
      </c>
      <c r="H104" s="32">
        <v>0.31</v>
      </c>
      <c r="I104" s="21" t="s">
        <v>19</v>
      </c>
      <c r="J104" s="21" t="s">
        <v>19</v>
      </c>
      <c r="K104" s="21" t="s">
        <v>19</v>
      </c>
      <c r="L104" s="21" t="s">
        <v>19</v>
      </c>
      <c r="M104" s="21" t="s">
        <v>19</v>
      </c>
      <c r="N104" s="17">
        <v>226</v>
      </c>
      <c r="O104" s="18">
        <v>0.62</v>
      </c>
    </row>
    <row r="105" spans="1:15" ht="17.399999999999999" x14ac:dyDescent="0.3">
      <c r="A105" s="7">
        <v>99</v>
      </c>
      <c r="B105" s="8" t="str">
        <f>HYPERLINK("https://webapp.icbf.com/v2/app/bull-search/view/1605162002","FR4736")</f>
        <v>FR4736</v>
      </c>
      <c r="C105" s="9" t="s">
        <v>128</v>
      </c>
      <c r="D105" s="10" t="s">
        <v>45</v>
      </c>
      <c r="E105" s="10" t="s">
        <v>27</v>
      </c>
      <c r="F105" s="30" t="s">
        <v>119</v>
      </c>
      <c r="G105" s="31">
        <v>0.31</v>
      </c>
      <c r="H105" s="32">
        <v>0.32</v>
      </c>
      <c r="I105" s="21" t="s">
        <v>19</v>
      </c>
      <c r="J105" s="21" t="s">
        <v>19</v>
      </c>
      <c r="K105" s="21" t="s">
        <v>19</v>
      </c>
      <c r="L105" s="21" t="s">
        <v>19</v>
      </c>
      <c r="M105" s="21" t="s">
        <v>19</v>
      </c>
      <c r="N105" s="17">
        <v>220</v>
      </c>
      <c r="O105" s="18">
        <v>0.62</v>
      </c>
    </row>
    <row r="106" spans="1:15" ht="17.399999999999999" x14ac:dyDescent="0.3">
      <c r="A106" s="7">
        <v>100</v>
      </c>
      <c r="B106" s="8" t="str">
        <f>HYPERLINK("https://webapp.icbf.com/v2/app/bull-search/view/1607477759","FR5118")</f>
        <v>FR5118</v>
      </c>
      <c r="C106" s="9" t="s">
        <v>129</v>
      </c>
      <c r="D106" s="10" t="s">
        <v>45</v>
      </c>
      <c r="E106" s="10" t="s">
        <v>17</v>
      </c>
      <c r="F106" s="30" t="s">
        <v>119</v>
      </c>
      <c r="G106" s="31">
        <v>0.31</v>
      </c>
      <c r="H106" s="32">
        <v>0.34</v>
      </c>
      <c r="I106" s="21" t="s">
        <v>19</v>
      </c>
      <c r="J106" s="21" t="s">
        <v>19</v>
      </c>
      <c r="K106" s="21" t="s">
        <v>19</v>
      </c>
      <c r="L106" s="21" t="s">
        <v>19</v>
      </c>
      <c r="M106" s="21" t="s">
        <v>19</v>
      </c>
      <c r="N106" s="17">
        <v>248</v>
      </c>
      <c r="O106" s="18">
        <v>0.64</v>
      </c>
    </row>
    <row r="107" spans="1:15" ht="17.399999999999999" x14ac:dyDescent="0.3">
      <c r="A107" s="7">
        <v>101</v>
      </c>
      <c r="B107" s="8" t="str">
        <f>HYPERLINK("https://webapp.icbf.com/v2/app/bull-search/view/1734973966","FR5866")</f>
        <v>FR5866</v>
      </c>
      <c r="C107" s="9" t="s">
        <v>130</v>
      </c>
      <c r="D107" s="10" t="s">
        <v>45</v>
      </c>
      <c r="E107" s="10" t="s">
        <v>27</v>
      </c>
      <c r="F107" s="30" t="s">
        <v>119</v>
      </c>
      <c r="G107" s="31">
        <v>0.31</v>
      </c>
      <c r="H107" s="32">
        <v>0.32</v>
      </c>
      <c r="I107" s="21" t="s">
        <v>19</v>
      </c>
      <c r="J107" s="21" t="s">
        <v>19</v>
      </c>
      <c r="K107" s="21" t="s">
        <v>19</v>
      </c>
      <c r="L107" s="21" t="s">
        <v>19</v>
      </c>
      <c r="M107" s="21" t="s">
        <v>19</v>
      </c>
      <c r="N107" s="17">
        <v>248</v>
      </c>
      <c r="O107" s="18">
        <v>0.59</v>
      </c>
    </row>
    <row r="108" spans="1:15" ht="17.399999999999999" x14ac:dyDescent="0.3">
      <c r="A108" s="7">
        <v>102</v>
      </c>
      <c r="B108" s="8" t="str">
        <f>HYPERLINK("https://webapp.icbf.com/v2/app/bull-search/view/1732420386","FR6067")</f>
        <v>FR6067</v>
      </c>
      <c r="C108" s="9" t="s">
        <v>131</v>
      </c>
      <c r="D108" s="10" t="s">
        <v>45</v>
      </c>
      <c r="E108" s="10" t="s">
        <v>62</v>
      </c>
      <c r="F108" s="30" t="s">
        <v>119</v>
      </c>
      <c r="G108" s="31">
        <v>0.31</v>
      </c>
      <c r="H108" s="32">
        <v>0.33</v>
      </c>
      <c r="I108" s="21" t="s">
        <v>19</v>
      </c>
      <c r="J108" s="21" t="s">
        <v>19</v>
      </c>
      <c r="K108" s="21" t="s">
        <v>19</v>
      </c>
      <c r="L108" s="21" t="s">
        <v>19</v>
      </c>
      <c r="M108" s="21" t="s">
        <v>19</v>
      </c>
      <c r="N108" s="17">
        <v>220</v>
      </c>
      <c r="O108" s="18">
        <v>0.6</v>
      </c>
    </row>
    <row r="109" spans="1:15" ht="17.399999999999999" x14ac:dyDescent="0.3">
      <c r="A109" s="7">
        <v>103</v>
      </c>
      <c r="B109" s="8" t="str">
        <f>HYPERLINK("https://webapp.icbf.com/v2/app/bull-search/view/1607871100","FR5289")</f>
        <v>FR5289</v>
      </c>
      <c r="C109" s="9" t="s">
        <v>132</v>
      </c>
      <c r="D109" s="10" t="s">
        <v>45</v>
      </c>
      <c r="E109" s="10" t="s">
        <v>27</v>
      </c>
      <c r="F109" s="30" t="s">
        <v>119</v>
      </c>
      <c r="G109" s="31">
        <v>0.31</v>
      </c>
      <c r="H109" s="32">
        <v>0.28000000000000003</v>
      </c>
      <c r="I109" s="21" t="s">
        <v>19</v>
      </c>
      <c r="J109" s="21" t="s">
        <v>19</v>
      </c>
      <c r="K109" s="21" t="s">
        <v>19</v>
      </c>
      <c r="L109" s="21" t="s">
        <v>19</v>
      </c>
      <c r="M109" s="21" t="s">
        <v>19</v>
      </c>
      <c r="N109" s="17">
        <v>252</v>
      </c>
      <c r="O109" s="18">
        <v>0.62</v>
      </c>
    </row>
    <row r="110" spans="1:15" ht="17.399999999999999" x14ac:dyDescent="0.3">
      <c r="A110" s="7">
        <v>104</v>
      </c>
      <c r="B110" s="8" t="str">
        <f>HYPERLINK("https://webapp.icbf.com/v2/app/bull-search/view/1872681456","FR7152")</f>
        <v>FR7152</v>
      </c>
      <c r="C110" s="9" t="s">
        <v>133</v>
      </c>
      <c r="D110" s="10" t="s">
        <v>45</v>
      </c>
      <c r="E110" s="10" t="s">
        <v>27</v>
      </c>
      <c r="F110" s="30" t="s">
        <v>119</v>
      </c>
      <c r="G110" s="31">
        <v>0.31</v>
      </c>
      <c r="H110" s="32">
        <v>0.31</v>
      </c>
      <c r="I110" s="21" t="s">
        <v>19</v>
      </c>
      <c r="J110" s="21" t="s">
        <v>19</v>
      </c>
      <c r="K110" s="21" t="s">
        <v>19</v>
      </c>
      <c r="L110" s="21" t="s">
        <v>19</v>
      </c>
      <c r="M110" s="21" t="s">
        <v>19</v>
      </c>
      <c r="N110" s="17">
        <v>309</v>
      </c>
      <c r="O110" s="18">
        <v>0.52</v>
      </c>
    </row>
    <row r="111" spans="1:15" ht="17.399999999999999" x14ac:dyDescent="0.3">
      <c r="A111" s="7">
        <v>105</v>
      </c>
      <c r="B111" s="8" t="str">
        <f>HYPERLINK("https://webapp.icbf.com/v2/app/bull-search/view/1148868357","FR2079")</f>
        <v>FR2079</v>
      </c>
      <c r="C111" s="9" t="s">
        <v>134</v>
      </c>
      <c r="D111" s="10" t="s">
        <v>45</v>
      </c>
      <c r="E111" s="10" t="s">
        <v>27</v>
      </c>
      <c r="F111" s="30" t="s">
        <v>119</v>
      </c>
      <c r="G111" s="31">
        <v>0.31</v>
      </c>
      <c r="H111" s="32">
        <v>0.54</v>
      </c>
      <c r="I111" s="21">
        <v>158</v>
      </c>
      <c r="J111" s="21">
        <v>259</v>
      </c>
      <c r="K111" s="21">
        <v>2502</v>
      </c>
      <c r="L111" s="23">
        <v>0.13</v>
      </c>
      <c r="M111" s="23">
        <v>0.14000000000000001</v>
      </c>
      <c r="N111" s="17">
        <v>211</v>
      </c>
      <c r="O111" s="18">
        <v>0.94</v>
      </c>
    </row>
    <row r="112" spans="1:15" ht="17.399999999999999" x14ac:dyDescent="0.3">
      <c r="A112" s="7">
        <v>106</v>
      </c>
      <c r="B112" s="8" t="str">
        <f>HYPERLINK("https://webapp.icbf.com/v2/app/bull-search/view/1853973383","JE6886")</f>
        <v>JE6886</v>
      </c>
      <c r="C112" s="9" t="s">
        <v>135</v>
      </c>
      <c r="D112" s="10" t="s">
        <v>16</v>
      </c>
      <c r="E112" s="10" t="s">
        <v>17</v>
      </c>
      <c r="F112" s="30" t="s">
        <v>119</v>
      </c>
      <c r="G112" s="31">
        <v>0.31</v>
      </c>
      <c r="H112" s="32">
        <v>0.24</v>
      </c>
      <c r="I112" s="21" t="s">
        <v>19</v>
      </c>
      <c r="J112" s="21" t="s">
        <v>19</v>
      </c>
      <c r="K112" s="21" t="s">
        <v>19</v>
      </c>
      <c r="L112" s="21" t="s">
        <v>19</v>
      </c>
      <c r="M112" s="21" t="s">
        <v>19</v>
      </c>
      <c r="N112" s="17">
        <v>266</v>
      </c>
      <c r="O112" s="18">
        <v>0.51</v>
      </c>
    </row>
    <row r="113" spans="1:15" ht="17.399999999999999" x14ac:dyDescent="0.3">
      <c r="A113" s="7">
        <v>107</v>
      </c>
      <c r="B113" s="8" t="str">
        <f>HYPERLINK("https://webapp.icbf.com/v2/app/bull-search/view/1244048262","FR2275")</f>
        <v>FR2275</v>
      </c>
      <c r="C113" s="9" t="s">
        <v>136</v>
      </c>
      <c r="D113" s="10" t="s">
        <v>45</v>
      </c>
      <c r="E113" s="10" t="s">
        <v>21</v>
      </c>
      <c r="F113" s="30" t="s">
        <v>119</v>
      </c>
      <c r="G113" s="31">
        <v>0.31</v>
      </c>
      <c r="H113" s="32">
        <v>0.61</v>
      </c>
      <c r="I113" s="21">
        <v>185</v>
      </c>
      <c r="J113" s="21">
        <v>339</v>
      </c>
      <c r="K113" s="21">
        <v>3228</v>
      </c>
      <c r="L113" s="22">
        <v>9.0999999999999998E-2</v>
      </c>
      <c r="M113" s="22">
        <v>6.5000000000000002E-2</v>
      </c>
      <c r="N113" s="17">
        <v>200</v>
      </c>
      <c r="O113" s="18">
        <v>0.94</v>
      </c>
    </row>
    <row r="114" spans="1:15" ht="17.399999999999999" x14ac:dyDescent="0.3">
      <c r="A114" s="7">
        <v>108</v>
      </c>
      <c r="B114" s="8" t="str">
        <f>HYPERLINK("https://webapp.icbf.com/v2/app/bull-search/view/1859528406","FR6421")</f>
        <v>FR6421</v>
      </c>
      <c r="C114" s="9" t="s">
        <v>137</v>
      </c>
      <c r="D114" s="10" t="s">
        <v>45</v>
      </c>
      <c r="E114" s="10" t="s">
        <v>27</v>
      </c>
      <c r="F114" s="30" t="s">
        <v>119</v>
      </c>
      <c r="G114" s="31">
        <v>0.31</v>
      </c>
      <c r="H114" s="32">
        <v>0.3</v>
      </c>
      <c r="I114" s="21" t="s">
        <v>19</v>
      </c>
      <c r="J114" s="21" t="s">
        <v>19</v>
      </c>
      <c r="K114" s="21" t="s">
        <v>19</v>
      </c>
      <c r="L114" s="21" t="s">
        <v>19</v>
      </c>
      <c r="M114" s="21" t="s">
        <v>19</v>
      </c>
      <c r="N114" s="17">
        <v>309</v>
      </c>
      <c r="O114" s="18">
        <v>0.5</v>
      </c>
    </row>
    <row r="115" spans="1:15" ht="17.399999999999999" x14ac:dyDescent="0.3">
      <c r="A115" s="7">
        <v>109</v>
      </c>
      <c r="B115" s="8" t="str">
        <f>HYPERLINK("https://webapp.icbf.com/v2/app/bull-search/view/866601118","HDJ   ")</f>
        <v xml:space="preserve">HDJ   </v>
      </c>
      <c r="C115" s="9" t="s">
        <v>138</v>
      </c>
      <c r="D115" s="10" t="s">
        <v>45</v>
      </c>
      <c r="E115" s="10" t="s">
        <v>27</v>
      </c>
      <c r="F115" s="30" t="s">
        <v>119</v>
      </c>
      <c r="G115" s="31">
        <v>0.31</v>
      </c>
      <c r="H115" s="32">
        <v>0.68</v>
      </c>
      <c r="I115" s="21">
        <v>339</v>
      </c>
      <c r="J115" s="21">
        <v>470</v>
      </c>
      <c r="K115" s="21">
        <v>4682</v>
      </c>
      <c r="L115" s="23">
        <v>0.13</v>
      </c>
      <c r="M115" s="23">
        <v>0.11</v>
      </c>
      <c r="N115" s="17">
        <v>231</v>
      </c>
      <c r="O115" s="18">
        <v>0.97</v>
      </c>
    </row>
    <row r="116" spans="1:15" ht="17.399999999999999" x14ac:dyDescent="0.3">
      <c r="A116" s="7">
        <v>110</v>
      </c>
      <c r="B116" s="8" t="str">
        <f>HYPERLINK("https://webapp.icbf.com/v2/app/bull-search/view/1607870293","FR4715")</f>
        <v>FR4715</v>
      </c>
      <c r="C116" s="9" t="s">
        <v>139</v>
      </c>
      <c r="D116" s="10" t="s">
        <v>45</v>
      </c>
      <c r="E116" s="10" t="s">
        <v>21</v>
      </c>
      <c r="F116" s="30" t="s">
        <v>119</v>
      </c>
      <c r="G116" s="31">
        <v>0.31</v>
      </c>
      <c r="H116" s="32">
        <v>0.33</v>
      </c>
      <c r="I116" s="21" t="s">
        <v>19</v>
      </c>
      <c r="J116" s="21" t="s">
        <v>19</v>
      </c>
      <c r="K116" s="21" t="s">
        <v>19</v>
      </c>
      <c r="L116" s="21" t="s">
        <v>19</v>
      </c>
      <c r="M116" s="21" t="s">
        <v>19</v>
      </c>
      <c r="N116" s="17">
        <v>204</v>
      </c>
      <c r="O116" s="18">
        <v>0.63</v>
      </c>
    </row>
    <row r="117" spans="1:15" ht="17.399999999999999" x14ac:dyDescent="0.3">
      <c r="A117" s="7">
        <v>111</v>
      </c>
      <c r="B117" s="8" t="str">
        <f>HYPERLINK("https://webapp.icbf.com/v2/app/bull-search/view/1602242673","FR4902")</f>
        <v>FR4902</v>
      </c>
      <c r="C117" s="9" t="s">
        <v>140</v>
      </c>
      <c r="D117" s="10" t="s">
        <v>45</v>
      </c>
      <c r="E117" s="10" t="s">
        <v>27</v>
      </c>
      <c r="F117" s="30" t="s">
        <v>119</v>
      </c>
      <c r="G117" s="31">
        <v>0.31</v>
      </c>
      <c r="H117" s="32">
        <v>0.38</v>
      </c>
      <c r="I117" s="21" t="s">
        <v>19</v>
      </c>
      <c r="J117" s="21" t="s">
        <v>19</v>
      </c>
      <c r="K117" s="21" t="s">
        <v>19</v>
      </c>
      <c r="L117" s="21" t="s">
        <v>19</v>
      </c>
      <c r="M117" s="21" t="s">
        <v>19</v>
      </c>
      <c r="N117" s="17">
        <v>219</v>
      </c>
      <c r="O117" s="18">
        <v>0.63</v>
      </c>
    </row>
    <row r="118" spans="1:15" ht="17.399999999999999" x14ac:dyDescent="0.3">
      <c r="A118" s="7">
        <v>112</v>
      </c>
      <c r="B118" s="8" t="str">
        <f>HYPERLINK("https://webapp.icbf.com/v2/app/bull-search/view/1859056777","FR6775")</f>
        <v>FR6775</v>
      </c>
      <c r="C118" s="9" t="s">
        <v>141</v>
      </c>
      <c r="D118" s="10" t="s">
        <v>45</v>
      </c>
      <c r="E118" s="10" t="s">
        <v>27</v>
      </c>
      <c r="F118" s="30" t="s">
        <v>119</v>
      </c>
      <c r="G118" s="31">
        <v>0.31</v>
      </c>
      <c r="H118" s="32">
        <v>0.3</v>
      </c>
      <c r="I118" s="21" t="s">
        <v>19</v>
      </c>
      <c r="J118" s="21" t="s">
        <v>19</v>
      </c>
      <c r="K118" s="21" t="s">
        <v>19</v>
      </c>
      <c r="L118" s="21" t="s">
        <v>19</v>
      </c>
      <c r="M118" s="21" t="s">
        <v>19</v>
      </c>
      <c r="N118" s="17">
        <v>301</v>
      </c>
      <c r="O118" s="18">
        <v>0.51</v>
      </c>
    </row>
    <row r="119" spans="1:15" ht="17.399999999999999" x14ac:dyDescent="0.3">
      <c r="A119" s="7">
        <v>113</v>
      </c>
      <c r="B119" s="8" t="str">
        <f>HYPERLINK("https://webapp.icbf.com/v2/app/bull-search/view/1611547216","FR4722")</f>
        <v>FR4722</v>
      </c>
      <c r="C119" s="9" t="s">
        <v>142</v>
      </c>
      <c r="D119" s="10" t="s">
        <v>45</v>
      </c>
      <c r="E119" s="10" t="s">
        <v>21</v>
      </c>
      <c r="F119" s="30" t="s">
        <v>119</v>
      </c>
      <c r="G119" s="31">
        <v>0.31</v>
      </c>
      <c r="H119" s="32">
        <v>0.34</v>
      </c>
      <c r="I119" s="21" t="s">
        <v>19</v>
      </c>
      <c r="J119" s="21" t="s">
        <v>19</v>
      </c>
      <c r="K119" s="21" t="s">
        <v>19</v>
      </c>
      <c r="L119" s="21" t="s">
        <v>19</v>
      </c>
      <c r="M119" s="21" t="s">
        <v>19</v>
      </c>
      <c r="N119" s="17">
        <v>209</v>
      </c>
      <c r="O119" s="18">
        <v>0.63</v>
      </c>
    </row>
    <row r="120" spans="1:15" ht="17.399999999999999" x14ac:dyDescent="0.3">
      <c r="A120" s="7">
        <v>114</v>
      </c>
      <c r="B120" s="8" t="str">
        <f>HYPERLINK("https://webapp.icbf.com/v2/app/bull-search/view/1041693075","OMM   ")</f>
        <v xml:space="preserve">OMM   </v>
      </c>
      <c r="C120" s="9" t="s">
        <v>143</v>
      </c>
      <c r="D120" s="10" t="s">
        <v>45</v>
      </c>
      <c r="E120" s="10" t="s">
        <v>17</v>
      </c>
      <c r="F120" s="30" t="s">
        <v>119</v>
      </c>
      <c r="G120" s="31">
        <v>0.31</v>
      </c>
      <c r="H120" s="32">
        <v>0.38</v>
      </c>
      <c r="I120" s="21">
        <v>16</v>
      </c>
      <c r="J120" s="21">
        <v>24</v>
      </c>
      <c r="K120" s="21">
        <v>291</v>
      </c>
      <c r="L120" s="22">
        <v>4.2000000000000003E-2</v>
      </c>
      <c r="M120" s="22">
        <v>9.6000000000000002E-2</v>
      </c>
      <c r="N120" s="17">
        <v>218</v>
      </c>
      <c r="O120" s="18">
        <v>0.89</v>
      </c>
    </row>
    <row r="121" spans="1:15" ht="17.399999999999999" x14ac:dyDescent="0.3">
      <c r="A121" s="7">
        <v>115</v>
      </c>
      <c r="B121" s="8" t="str">
        <f>HYPERLINK("https://webapp.icbf.com/v2/app/bull-search/view/1292341341","FR2267")</f>
        <v>FR2267</v>
      </c>
      <c r="C121" s="9" t="s">
        <v>144</v>
      </c>
      <c r="D121" s="10" t="s">
        <v>45</v>
      </c>
      <c r="E121" s="10" t="s">
        <v>145</v>
      </c>
      <c r="F121" s="30" t="s">
        <v>119</v>
      </c>
      <c r="G121" s="31">
        <v>0.31</v>
      </c>
      <c r="H121" s="32">
        <v>0.4</v>
      </c>
      <c r="I121" s="21">
        <v>37</v>
      </c>
      <c r="J121" s="21">
        <v>56</v>
      </c>
      <c r="K121" s="21">
        <v>452</v>
      </c>
      <c r="L121" s="22">
        <v>8.8999999999999996E-2</v>
      </c>
      <c r="M121" s="23">
        <v>0.1</v>
      </c>
      <c r="N121" s="17">
        <v>222</v>
      </c>
      <c r="O121" s="18">
        <v>0.93</v>
      </c>
    </row>
    <row r="122" spans="1:15" ht="17.399999999999999" x14ac:dyDescent="0.3">
      <c r="A122" s="7">
        <v>116</v>
      </c>
      <c r="B122" s="8" t="str">
        <f>HYPERLINK("https://webapp.icbf.com/v2/app/bull-search/view/1606532564","FR4998")</f>
        <v>FR4998</v>
      </c>
      <c r="C122" s="9" t="s">
        <v>146</v>
      </c>
      <c r="D122" s="10" t="s">
        <v>45</v>
      </c>
      <c r="E122" s="10" t="s">
        <v>27</v>
      </c>
      <c r="F122" s="30" t="s">
        <v>119</v>
      </c>
      <c r="G122" s="31">
        <v>0.31</v>
      </c>
      <c r="H122" s="32">
        <v>0.34</v>
      </c>
      <c r="I122" s="21" t="s">
        <v>19</v>
      </c>
      <c r="J122" s="21" t="s">
        <v>19</v>
      </c>
      <c r="K122" s="21" t="s">
        <v>19</v>
      </c>
      <c r="L122" s="21" t="s">
        <v>19</v>
      </c>
      <c r="M122" s="21" t="s">
        <v>19</v>
      </c>
      <c r="N122" s="17">
        <v>239</v>
      </c>
      <c r="O122" s="18">
        <v>0.62</v>
      </c>
    </row>
    <row r="123" spans="1:15" ht="17.399999999999999" x14ac:dyDescent="0.3">
      <c r="A123" s="7">
        <v>117</v>
      </c>
      <c r="B123" s="8" t="str">
        <f>HYPERLINK("https://webapp.icbf.com/v2/app/bull-search/view/1732875978","FR5737")</f>
        <v>FR5737</v>
      </c>
      <c r="C123" s="9" t="s">
        <v>147</v>
      </c>
      <c r="D123" s="10" t="s">
        <v>45</v>
      </c>
      <c r="E123" s="10" t="s">
        <v>27</v>
      </c>
      <c r="F123" s="30" t="s">
        <v>119</v>
      </c>
      <c r="G123" s="31">
        <v>0.31</v>
      </c>
      <c r="H123" s="32">
        <v>0.28999999999999998</v>
      </c>
      <c r="I123" s="21" t="s">
        <v>19</v>
      </c>
      <c r="J123" s="21" t="s">
        <v>19</v>
      </c>
      <c r="K123" s="21" t="s">
        <v>19</v>
      </c>
      <c r="L123" s="21" t="s">
        <v>19</v>
      </c>
      <c r="M123" s="21" t="s">
        <v>19</v>
      </c>
      <c r="N123" s="17">
        <v>262</v>
      </c>
      <c r="O123" s="18">
        <v>0.55000000000000004</v>
      </c>
    </row>
    <row r="124" spans="1:15" ht="17.399999999999999" x14ac:dyDescent="0.3">
      <c r="A124" s="7">
        <v>118</v>
      </c>
      <c r="B124" s="8" t="str">
        <f>HYPERLINK("https://webapp.icbf.com/v2/app/bull-search/view/1606251108","FR5593")</f>
        <v>FR5593</v>
      </c>
      <c r="C124" s="9" t="s">
        <v>148</v>
      </c>
      <c r="D124" s="10" t="s">
        <v>45</v>
      </c>
      <c r="E124" s="10" t="s">
        <v>27</v>
      </c>
      <c r="F124" s="30" t="s">
        <v>119</v>
      </c>
      <c r="G124" s="31">
        <v>0.31</v>
      </c>
      <c r="H124" s="32">
        <v>0.42</v>
      </c>
      <c r="I124" s="21" t="s">
        <v>19</v>
      </c>
      <c r="J124" s="21" t="s">
        <v>19</v>
      </c>
      <c r="K124" s="21" t="s">
        <v>19</v>
      </c>
      <c r="L124" s="21" t="s">
        <v>19</v>
      </c>
      <c r="M124" s="21" t="s">
        <v>19</v>
      </c>
      <c r="N124" s="17">
        <v>237</v>
      </c>
      <c r="O124" s="18">
        <v>0.64</v>
      </c>
    </row>
    <row r="125" spans="1:15" ht="17.399999999999999" x14ac:dyDescent="0.3">
      <c r="A125" s="7">
        <v>119</v>
      </c>
      <c r="B125" s="8" t="str">
        <f>HYPERLINK("https://webapp.icbf.com/v2/app/bull-search/view/1864390685","FR6853")</f>
        <v>FR6853</v>
      </c>
      <c r="C125" s="9" t="s">
        <v>149</v>
      </c>
      <c r="D125" s="10" t="s">
        <v>45</v>
      </c>
      <c r="E125" s="10" t="s">
        <v>27</v>
      </c>
      <c r="F125" s="30" t="s">
        <v>119</v>
      </c>
      <c r="G125" s="31">
        <v>0.31</v>
      </c>
      <c r="H125" s="32">
        <v>0.33</v>
      </c>
      <c r="I125" s="21" t="s">
        <v>19</v>
      </c>
      <c r="J125" s="21" t="s">
        <v>19</v>
      </c>
      <c r="K125" s="21" t="s">
        <v>19</v>
      </c>
      <c r="L125" s="21" t="s">
        <v>19</v>
      </c>
      <c r="M125" s="21" t="s">
        <v>19</v>
      </c>
      <c r="N125" s="17">
        <v>295</v>
      </c>
      <c r="O125" s="18">
        <v>0.51</v>
      </c>
    </row>
    <row r="126" spans="1:15" ht="17.399999999999999" x14ac:dyDescent="0.3">
      <c r="A126" s="7">
        <v>120</v>
      </c>
      <c r="B126" s="8" t="str">
        <f>HYPERLINK("https://webapp.icbf.com/v2/app/bull-search/view/1851611064","FR7011")</f>
        <v>FR7011</v>
      </c>
      <c r="C126" s="9" t="s">
        <v>150</v>
      </c>
      <c r="D126" s="10" t="s">
        <v>45</v>
      </c>
      <c r="E126" s="10" t="s">
        <v>27</v>
      </c>
      <c r="F126" s="30" t="s">
        <v>119</v>
      </c>
      <c r="G126" s="31">
        <v>0.31</v>
      </c>
      <c r="H126" s="32">
        <v>0.28000000000000003</v>
      </c>
      <c r="I126" s="21" t="s">
        <v>19</v>
      </c>
      <c r="J126" s="21" t="s">
        <v>19</v>
      </c>
      <c r="K126" s="21" t="s">
        <v>19</v>
      </c>
      <c r="L126" s="21" t="s">
        <v>19</v>
      </c>
      <c r="M126" s="21" t="s">
        <v>19</v>
      </c>
      <c r="N126" s="17">
        <v>311</v>
      </c>
      <c r="O126" s="18">
        <v>0.51</v>
      </c>
    </row>
    <row r="127" spans="1:15" ht="17.399999999999999" x14ac:dyDescent="0.3">
      <c r="A127" s="7">
        <v>121</v>
      </c>
      <c r="B127" s="8" t="str">
        <f>HYPERLINK("https://webapp.icbf.com/v2/app/bull-search/view/1863950911","FR7116")</f>
        <v>FR7116</v>
      </c>
      <c r="C127" s="9" t="s">
        <v>151</v>
      </c>
      <c r="D127" s="10" t="s">
        <v>45</v>
      </c>
      <c r="E127" s="10" t="s">
        <v>27</v>
      </c>
      <c r="F127" s="30" t="s">
        <v>119</v>
      </c>
      <c r="G127" s="31">
        <v>0.31</v>
      </c>
      <c r="H127" s="32">
        <v>0.3</v>
      </c>
      <c r="I127" s="21" t="s">
        <v>19</v>
      </c>
      <c r="J127" s="21" t="s">
        <v>19</v>
      </c>
      <c r="K127" s="21" t="s">
        <v>19</v>
      </c>
      <c r="L127" s="21" t="s">
        <v>19</v>
      </c>
      <c r="M127" s="21" t="s">
        <v>19</v>
      </c>
      <c r="N127" s="17">
        <v>323</v>
      </c>
      <c r="O127" s="18">
        <v>0.52</v>
      </c>
    </row>
    <row r="128" spans="1:15" ht="17.399999999999999" x14ac:dyDescent="0.3">
      <c r="A128" s="7">
        <v>122</v>
      </c>
      <c r="B128" s="8" t="str">
        <f>HYPERLINK("https://webapp.icbf.com/v2/app/bull-search/view/860142916","KXL   ")</f>
        <v xml:space="preserve">KXL   </v>
      </c>
      <c r="C128" s="9" t="s">
        <v>152</v>
      </c>
      <c r="D128" s="10" t="s">
        <v>45</v>
      </c>
      <c r="E128" s="10" t="s">
        <v>27</v>
      </c>
      <c r="F128" s="30" t="s">
        <v>119</v>
      </c>
      <c r="G128" s="31">
        <v>0.31</v>
      </c>
      <c r="H128" s="32">
        <v>0.46</v>
      </c>
      <c r="I128" s="21">
        <v>21</v>
      </c>
      <c r="J128" s="21">
        <v>22</v>
      </c>
      <c r="K128" s="21">
        <v>217</v>
      </c>
      <c r="L128" s="23">
        <v>0.27</v>
      </c>
      <c r="M128" s="23">
        <v>0.12</v>
      </c>
      <c r="N128" s="17">
        <v>204</v>
      </c>
      <c r="O128" s="18">
        <v>0.93</v>
      </c>
    </row>
    <row r="129" spans="1:15" ht="17.399999999999999" x14ac:dyDescent="0.3">
      <c r="A129" s="7">
        <v>123</v>
      </c>
      <c r="B129" s="8" t="str">
        <f>HYPERLINK("https://webapp.icbf.com/v2/app/bull-search/view/1863925708","FR6751")</f>
        <v>FR6751</v>
      </c>
      <c r="C129" s="9" t="s">
        <v>153</v>
      </c>
      <c r="D129" s="10" t="s">
        <v>45</v>
      </c>
      <c r="E129" s="10" t="s">
        <v>27</v>
      </c>
      <c r="F129" s="30" t="s">
        <v>119</v>
      </c>
      <c r="G129" s="31">
        <v>0.31</v>
      </c>
      <c r="H129" s="32">
        <v>0.32</v>
      </c>
      <c r="I129" s="21" t="s">
        <v>19</v>
      </c>
      <c r="J129" s="21" t="s">
        <v>19</v>
      </c>
      <c r="K129" s="21" t="s">
        <v>19</v>
      </c>
      <c r="L129" s="21" t="s">
        <v>19</v>
      </c>
      <c r="M129" s="21" t="s">
        <v>19</v>
      </c>
      <c r="N129" s="17">
        <v>300</v>
      </c>
      <c r="O129" s="18">
        <v>0.56000000000000005</v>
      </c>
    </row>
    <row r="130" spans="1:15" ht="17.399999999999999" x14ac:dyDescent="0.3">
      <c r="A130" s="7">
        <v>124</v>
      </c>
      <c r="B130" s="8" t="str">
        <f>HYPERLINK("https://webapp.icbf.com/v2/app/bull-search/view/1864784837","FR7119")</f>
        <v>FR7119</v>
      </c>
      <c r="C130" s="9" t="s">
        <v>154</v>
      </c>
      <c r="D130" s="10" t="s">
        <v>45</v>
      </c>
      <c r="E130" s="10" t="s">
        <v>27</v>
      </c>
      <c r="F130" s="30" t="s">
        <v>119</v>
      </c>
      <c r="G130" s="31">
        <v>0.31</v>
      </c>
      <c r="H130" s="32">
        <v>0.32</v>
      </c>
      <c r="I130" s="21" t="s">
        <v>19</v>
      </c>
      <c r="J130" s="21" t="s">
        <v>19</v>
      </c>
      <c r="K130" s="21" t="s">
        <v>19</v>
      </c>
      <c r="L130" s="21" t="s">
        <v>19</v>
      </c>
      <c r="M130" s="21" t="s">
        <v>19</v>
      </c>
      <c r="N130" s="17">
        <v>308</v>
      </c>
      <c r="O130" s="18">
        <v>0.53</v>
      </c>
    </row>
    <row r="131" spans="1:15" ht="17.399999999999999" x14ac:dyDescent="0.3">
      <c r="A131" s="7">
        <v>125</v>
      </c>
      <c r="B131" s="8" t="str">
        <f>HYPERLINK("https://webapp.icbf.com/v2/app/bull-search/view/1911063520","FR6568")</f>
        <v>FR6568</v>
      </c>
      <c r="C131" s="9" t="s">
        <v>155</v>
      </c>
      <c r="D131" s="10" t="s">
        <v>45</v>
      </c>
      <c r="E131" s="10" t="s">
        <v>17</v>
      </c>
      <c r="F131" s="30" t="s">
        <v>119</v>
      </c>
      <c r="G131" s="31">
        <v>0.31</v>
      </c>
      <c r="H131" s="32">
        <v>0.31</v>
      </c>
      <c r="I131" s="21" t="s">
        <v>19</v>
      </c>
      <c r="J131" s="21" t="s">
        <v>19</v>
      </c>
      <c r="K131" s="21" t="s">
        <v>19</v>
      </c>
      <c r="L131" s="21" t="s">
        <v>19</v>
      </c>
      <c r="M131" s="21" t="s">
        <v>19</v>
      </c>
      <c r="N131" s="17">
        <v>269</v>
      </c>
      <c r="O131" s="18">
        <v>0.47</v>
      </c>
    </row>
    <row r="132" spans="1:15" ht="17.399999999999999" x14ac:dyDescent="0.3">
      <c r="A132" s="7">
        <v>126</v>
      </c>
      <c r="B132" s="8" t="str">
        <f>HYPERLINK("https://webapp.icbf.com/v2/app/bull-search/view/1479530578","FR4572")</f>
        <v>FR4572</v>
      </c>
      <c r="C132" s="9" t="s">
        <v>156</v>
      </c>
      <c r="D132" s="10" t="s">
        <v>45</v>
      </c>
      <c r="E132" s="10" t="s">
        <v>27</v>
      </c>
      <c r="F132" s="30" t="s">
        <v>119</v>
      </c>
      <c r="G132" s="31">
        <v>0.31</v>
      </c>
      <c r="H132" s="32">
        <v>0.41</v>
      </c>
      <c r="I132" s="21" t="s">
        <v>19</v>
      </c>
      <c r="J132" s="21" t="s">
        <v>19</v>
      </c>
      <c r="K132" s="21" t="s">
        <v>19</v>
      </c>
      <c r="L132" s="21" t="s">
        <v>19</v>
      </c>
      <c r="M132" s="21" t="s">
        <v>19</v>
      </c>
      <c r="N132" s="17">
        <v>203</v>
      </c>
      <c r="O132" s="18">
        <v>0.64</v>
      </c>
    </row>
    <row r="133" spans="1:15" ht="17.399999999999999" x14ac:dyDescent="0.3">
      <c r="A133" s="7">
        <v>127</v>
      </c>
      <c r="B133" s="8" t="str">
        <f>HYPERLINK("https://webapp.icbf.com/v2/app/bull-search/view/1492474543","FR6181")</f>
        <v>FR6181</v>
      </c>
      <c r="C133" s="9" t="s">
        <v>157</v>
      </c>
      <c r="D133" s="10" t="s">
        <v>45</v>
      </c>
      <c r="E133" s="10" t="s">
        <v>27</v>
      </c>
      <c r="F133" s="30" t="s">
        <v>119</v>
      </c>
      <c r="G133" s="31">
        <v>0.31</v>
      </c>
      <c r="H133" s="32">
        <v>0.25</v>
      </c>
      <c r="I133" s="21" t="s">
        <v>19</v>
      </c>
      <c r="J133" s="21" t="s">
        <v>19</v>
      </c>
      <c r="K133" s="21" t="s">
        <v>19</v>
      </c>
      <c r="L133" s="21" t="s">
        <v>19</v>
      </c>
      <c r="M133" s="21" t="s">
        <v>19</v>
      </c>
      <c r="N133" s="17">
        <v>209</v>
      </c>
      <c r="O133" s="18">
        <v>0.61</v>
      </c>
    </row>
    <row r="134" spans="1:15" ht="17.399999999999999" x14ac:dyDescent="0.3">
      <c r="A134" s="7">
        <v>128</v>
      </c>
      <c r="B134" s="8" t="str">
        <f>HYPERLINK("https://webapp.icbf.com/v2/app/bull-search/view/1365700154","FR4328")</f>
        <v>FR4328</v>
      </c>
      <c r="C134" s="9" t="s">
        <v>158</v>
      </c>
      <c r="D134" s="10" t="s">
        <v>45</v>
      </c>
      <c r="E134" s="10" t="s">
        <v>21</v>
      </c>
      <c r="F134" s="30" t="s">
        <v>119</v>
      </c>
      <c r="G134" s="31">
        <v>0.31</v>
      </c>
      <c r="H134" s="32">
        <v>0.41</v>
      </c>
      <c r="I134" s="21">
        <v>1</v>
      </c>
      <c r="J134" s="21">
        <v>1</v>
      </c>
      <c r="K134" s="21">
        <v>41</v>
      </c>
      <c r="L134" s="22">
        <v>0</v>
      </c>
      <c r="M134" s="22">
        <v>2.4E-2</v>
      </c>
      <c r="N134" s="17">
        <v>246</v>
      </c>
      <c r="O134" s="18">
        <v>0.69</v>
      </c>
    </row>
    <row r="135" spans="1:15" ht="17.399999999999999" x14ac:dyDescent="0.3">
      <c r="A135" s="7">
        <v>129</v>
      </c>
      <c r="B135" s="8" t="str">
        <f>HYPERLINK("https://webapp.icbf.com/v2/app/bull-search/view/1477138355","FR4467")</f>
        <v>FR4467</v>
      </c>
      <c r="C135" s="9" t="s">
        <v>159</v>
      </c>
      <c r="D135" s="10" t="s">
        <v>45</v>
      </c>
      <c r="E135" s="10" t="s">
        <v>27</v>
      </c>
      <c r="F135" s="30" t="s">
        <v>119</v>
      </c>
      <c r="G135" s="31">
        <v>0.31</v>
      </c>
      <c r="H135" s="32">
        <v>0.37</v>
      </c>
      <c r="I135" s="21" t="s">
        <v>19</v>
      </c>
      <c r="J135" s="21" t="s">
        <v>19</v>
      </c>
      <c r="K135" s="21" t="s">
        <v>19</v>
      </c>
      <c r="L135" s="21" t="s">
        <v>19</v>
      </c>
      <c r="M135" s="21" t="s">
        <v>19</v>
      </c>
      <c r="N135" s="17">
        <v>270</v>
      </c>
      <c r="O135" s="18">
        <v>0.64</v>
      </c>
    </row>
    <row r="136" spans="1:15" ht="17.399999999999999" x14ac:dyDescent="0.3">
      <c r="A136" s="7">
        <v>130</v>
      </c>
      <c r="B136" s="8" t="str">
        <f>HYPERLINK("https://webapp.icbf.com/v2/app/bull-search/view/1826560603","FR6451")</f>
        <v>FR6451</v>
      </c>
      <c r="C136" s="9" t="s">
        <v>160</v>
      </c>
      <c r="D136" s="10" t="s">
        <v>45</v>
      </c>
      <c r="E136" s="10" t="s">
        <v>27</v>
      </c>
      <c r="F136" s="30" t="s">
        <v>119</v>
      </c>
      <c r="G136" s="31">
        <v>0.31</v>
      </c>
      <c r="H136" s="32">
        <v>0.31</v>
      </c>
      <c r="I136" s="21" t="s">
        <v>19</v>
      </c>
      <c r="J136" s="21" t="s">
        <v>19</v>
      </c>
      <c r="K136" s="21" t="s">
        <v>19</v>
      </c>
      <c r="L136" s="21" t="s">
        <v>19</v>
      </c>
      <c r="M136" s="21" t="s">
        <v>19</v>
      </c>
      <c r="N136" s="17">
        <v>279</v>
      </c>
      <c r="O136" s="18">
        <v>0.51</v>
      </c>
    </row>
    <row r="137" spans="1:15" ht="17.399999999999999" x14ac:dyDescent="0.3">
      <c r="A137" s="7">
        <v>131</v>
      </c>
      <c r="B137" s="8" t="str">
        <f>HYPERLINK("https://webapp.icbf.com/v2/app/bull-search/view/1876396580","FR6547")</f>
        <v>FR6547</v>
      </c>
      <c r="C137" s="9" t="s">
        <v>161</v>
      </c>
      <c r="D137" s="10" t="s">
        <v>45</v>
      </c>
      <c r="E137" s="10" t="s">
        <v>27</v>
      </c>
      <c r="F137" s="30" t="s">
        <v>119</v>
      </c>
      <c r="G137" s="31">
        <v>0.31</v>
      </c>
      <c r="H137" s="32">
        <v>0.28999999999999998</v>
      </c>
      <c r="I137" s="21" t="s">
        <v>19</v>
      </c>
      <c r="J137" s="21" t="s">
        <v>19</v>
      </c>
      <c r="K137" s="21" t="s">
        <v>19</v>
      </c>
      <c r="L137" s="21" t="s">
        <v>19</v>
      </c>
      <c r="M137" s="21" t="s">
        <v>19</v>
      </c>
      <c r="N137" s="17">
        <v>346</v>
      </c>
      <c r="O137" s="18">
        <v>0.53</v>
      </c>
    </row>
    <row r="138" spans="1:15" ht="17.399999999999999" x14ac:dyDescent="0.3">
      <c r="A138" s="7">
        <v>132</v>
      </c>
      <c r="B138" s="8" t="str">
        <f>HYPERLINK("https://webapp.icbf.com/v2/app/bull-search/view/1851611363","FR6631")</f>
        <v>FR6631</v>
      </c>
      <c r="C138" s="9" t="s">
        <v>162</v>
      </c>
      <c r="D138" s="10" t="s">
        <v>45</v>
      </c>
      <c r="E138" s="10" t="s">
        <v>21</v>
      </c>
      <c r="F138" s="30" t="s">
        <v>119</v>
      </c>
      <c r="G138" s="31">
        <v>0.31</v>
      </c>
      <c r="H138" s="32">
        <v>0.31</v>
      </c>
      <c r="I138" s="21" t="s">
        <v>19</v>
      </c>
      <c r="J138" s="21" t="s">
        <v>19</v>
      </c>
      <c r="K138" s="21" t="s">
        <v>19</v>
      </c>
      <c r="L138" s="21" t="s">
        <v>19</v>
      </c>
      <c r="M138" s="21" t="s">
        <v>19</v>
      </c>
      <c r="N138" s="17">
        <v>306</v>
      </c>
      <c r="O138" s="18">
        <v>0.51</v>
      </c>
    </row>
    <row r="139" spans="1:15" ht="17.399999999999999" x14ac:dyDescent="0.3">
      <c r="A139" s="7">
        <v>133</v>
      </c>
      <c r="B139" s="8" t="str">
        <f>HYPERLINK("https://webapp.icbf.com/v2/app/bull-search/view/1864384434","FR6817")</f>
        <v>FR6817</v>
      </c>
      <c r="C139" s="9" t="s">
        <v>163</v>
      </c>
      <c r="D139" s="10" t="s">
        <v>45</v>
      </c>
      <c r="E139" s="10" t="s">
        <v>21</v>
      </c>
      <c r="F139" s="30" t="s">
        <v>119</v>
      </c>
      <c r="G139" s="31">
        <v>0.31</v>
      </c>
      <c r="H139" s="32">
        <v>0.28000000000000003</v>
      </c>
      <c r="I139" s="21" t="s">
        <v>19</v>
      </c>
      <c r="J139" s="21" t="s">
        <v>19</v>
      </c>
      <c r="K139" s="21" t="s">
        <v>19</v>
      </c>
      <c r="L139" s="21" t="s">
        <v>19</v>
      </c>
      <c r="M139" s="21" t="s">
        <v>19</v>
      </c>
      <c r="N139" s="17">
        <v>305</v>
      </c>
      <c r="O139" s="18">
        <v>0.5</v>
      </c>
    </row>
    <row r="140" spans="1:15" ht="17.399999999999999" x14ac:dyDescent="0.3">
      <c r="A140" s="7">
        <v>134</v>
      </c>
      <c r="B140" s="8" t="str">
        <f>HYPERLINK("https://webapp.icbf.com/v2/app/bull-search/view/1472044534","FR6799")</f>
        <v>FR6799</v>
      </c>
      <c r="C140" s="9" t="s">
        <v>164</v>
      </c>
      <c r="D140" s="10" t="s">
        <v>45</v>
      </c>
      <c r="E140" s="10" t="s">
        <v>17</v>
      </c>
      <c r="F140" s="30" t="s">
        <v>119</v>
      </c>
      <c r="G140" s="31">
        <v>0.31</v>
      </c>
      <c r="H140" s="32">
        <v>0.31</v>
      </c>
      <c r="I140" s="21" t="s">
        <v>19</v>
      </c>
      <c r="J140" s="21" t="s">
        <v>19</v>
      </c>
      <c r="K140" s="21" t="s">
        <v>19</v>
      </c>
      <c r="L140" s="21" t="s">
        <v>19</v>
      </c>
      <c r="M140" s="21" t="s">
        <v>19</v>
      </c>
      <c r="N140" s="17">
        <v>207</v>
      </c>
      <c r="O140" s="18">
        <v>0.61</v>
      </c>
    </row>
    <row r="141" spans="1:15" ht="17.399999999999999" x14ac:dyDescent="0.3">
      <c r="A141" s="7">
        <v>135</v>
      </c>
      <c r="B141" s="8" t="str">
        <f>HYPERLINK("https://webapp.icbf.com/v2/app/bull-search/view/747869807","EGE   ")</f>
        <v xml:space="preserve">EGE   </v>
      </c>
      <c r="C141" s="9" t="s">
        <v>165</v>
      </c>
      <c r="D141" s="10" t="s">
        <v>99</v>
      </c>
      <c r="E141" s="10" t="s">
        <v>21</v>
      </c>
      <c r="F141" s="33" t="s">
        <v>166</v>
      </c>
      <c r="G141" s="34">
        <v>0.31</v>
      </c>
      <c r="H141" s="35">
        <v>0.23</v>
      </c>
      <c r="I141" s="21">
        <v>28</v>
      </c>
      <c r="J141" s="21">
        <v>44</v>
      </c>
      <c r="K141" s="21">
        <v>351</v>
      </c>
      <c r="L141" s="23">
        <v>0.34</v>
      </c>
      <c r="M141" s="23">
        <v>0.21</v>
      </c>
      <c r="N141" s="17">
        <v>203</v>
      </c>
      <c r="O141" s="18">
        <v>0.94</v>
      </c>
    </row>
    <row r="142" spans="1:15" ht="17.399999999999999" x14ac:dyDescent="0.3">
      <c r="A142" s="7">
        <v>136</v>
      </c>
      <c r="B142" s="8" t="str">
        <f>HYPERLINK("https://webapp.icbf.com/v2/app/bull-search/view/1429147668","FR4378")</f>
        <v>FR4378</v>
      </c>
      <c r="C142" s="9" t="s">
        <v>167</v>
      </c>
      <c r="D142" s="10" t="s">
        <v>45</v>
      </c>
      <c r="E142" s="10" t="s">
        <v>27</v>
      </c>
      <c r="F142" s="33" t="s">
        <v>166</v>
      </c>
      <c r="G142" s="34">
        <v>0.31</v>
      </c>
      <c r="H142" s="35">
        <v>0.49</v>
      </c>
      <c r="I142" s="21">
        <v>2</v>
      </c>
      <c r="J142" s="21">
        <v>4</v>
      </c>
      <c r="K142" s="21">
        <v>42</v>
      </c>
      <c r="L142" s="22">
        <v>0</v>
      </c>
      <c r="M142" s="21" t="s">
        <v>19</v>
      </c>
      <c r="N142" s="17">
        <v>241</v>
      </c>
      <c r="O142" s="18">
        <v>0.68</v>
      </c>
    </row>
    <row r="143" spans="1:15" ht="17.399999999999999" x14ac:dyDescent="0.3">
      <c r="A143" s="7">
        <v>137</v>
      </c>
      <c r="B143" s="8" t="str">
        <f>HYPERLINK("https://webapp.icbf.com/v2/app/bull-search/view/1726816971","FR5836")</f>
        <v>FR5836</v>
      </c>
      <c r="C143" s="9" t="s">
        <v>168</v>
      </c>
      <c r="D143" s="10" t="s">
        <v>45</v>
      </c>
      <c r="E143" s="10" t="s">
        <v>21</v>
      </c>
      <c r="F143" s="33" t="s">
        <v>166</v>
      </c>
      <c r="G143" s="34">
        <v>0.31</v>
      </c>
      <c r="H143" s="35">
        <v>0.36</v>
      </c>
      <c r="I143" s="21" t="s">
        <v>19</v>
      </c>
      <c r="J143" s="21" t="s">
        <v>19</v>
      </c>
      <c r="K143" s="21" t="s">
        <v>19</v>
      </c>
      <c r="L143" s="21" t="s">
        <v>19</v>
      </c>
      <c r="M143" s="21" t="s">
        <v>19</v>
      </c>
      <c r="N143" s="17">
        <v>252</v>
      </c>
      <c r="O143" s="18">
        <v>0.61</v>
      </c>
    </row>
    <row r="144" spans="1:15" ht="17.399999999999999" x14ac:dyDescent="0.3">
      <c r="A144" s="7">
        <v>138</v>
      </c>
      <c r="B144" s="8" t="str">
        <f>HYPERLINK("https://webapp.icbf.com/v2/app/bull-search/view/1565445817","FR4686")</f>
        <v>FR4686</v>
      </c>
      <c r="C144" s="9" t="s">
        <v>169</v>
      </c>
      <c r="D144" s="10" t="s">
        <v>45</v>
      </c>
      <c r="E144" s="10" t="s">
        <v>27</v>
      </c>
      <c r="F144" s="33" t="s">
        <v>166</v>
      </c>
      <c r="G144" s="34">
        <v>0.31</v>
      </c>
      <c r="H144" s="35">
        <v>0.37</v>
      </c>
      <c r="I144" s="21" t="s">
        <v>19</v>
      </c>
      <c r="J144" s="21" t="s">
        <v>19</v>
      </c>
      <c r="K144" s="21" t="s">
        <v>19</v>
      </c>
      <c r="L144" s="21" t="s">
        <v>19</v>
      </c>
      <c r="M144" s="21" t="s">
        <v>19</v>
      </c>
      <c r="N144" s="17">
        <v>224</v>
      </c>
      <c r="O144" s="18">
        <v>0.63</v>
      </c>
    </row>
    <row r="145" spans="1:15" ht="17.399999999999999" x14ac:dyDescent="0.3">
      <c r="A145" s="7">
        <v>139</v>
      </c>
      <c r="B145" s="8" t="str">
        <f>HYPERLINK("https://webapp.icbf.com/v2/app/bull-search/view/1603099063","FR4785")</f>
        <v>FR4785</v>
      </c>
      <c r="C145" s="9" t="s">
        <v>170</v>
      </c>
      <c r="D145" s="10" t="s">
        <v>45</v>
      </c>
      <c r="E145" s="10" t="s">
        <v>21</v>
      </c>
      <c r="F145" s="33" t="s">
        <v>166</v>
      </c>
      <c r="G145" s="34">
        <v>0.31</v>
      </c>
      <c r="H145" s="35">
        <v>0.38</v>
      </c>
      <c r="I145" s="21" t="s">
        <v>19</v>
      </c>
      <c r="J145" s="21" t="s">
        <v>19</v>
      </c>
      <c r="K145" s="21" t="s">
        <v>19</v>
      </c>
      <c r="L145" s="21" t="s">
        <v>19</v>
      </c>
      <c r="M145" s="21" t="s">
        <v>19</v>
      </c>
      <c r="N145" s="17">
        <v>285</v>
      </c>
      <c r="O145" s="18">
        <v>0.63</v>
      </c>
    </row>
    <row r="146" spans="1:15" ht="17.399999999999999" x14ac:dyDescent="0.3">
      <c r="A146" s="7">
        <v>140</v>
      </c>
      <c r="B146" s="8" t="str">
        <f>HYPERLINK("https://webapp.icbf.com/v2/app/bull-search/view/1699118307","FR5530")</f>
        <v>FR5530</v>
      </c>
      <c r="C146" s="9" t="s">
        <v>171</v>
      </c>
      <c r="D146" s="10" t="s">
        <v>45</v>
      </c>
      <c r="E146" s="10" t="s">
        <v>27</v>
      </c>
      <c r="F146" s="33" t="s">
        <v>166</v>
      </c>
      <c r="G146" s="34">
        <v>0.31</v>
      </c>
      <c r="H146" s="35">
        <v>0.36</v>
      </c>
      <c r="I146" s="21" t="s">
        <v>19</v>
      </c>
      <c r="J146" s="21" t="s">
        <v>19</v>
      </c>
      <c r="K146" s="21" t="s">
        <v>19</v>
      </c>
      <c r="L146" s="21" t="s">
        <v>19</v>
      </c>
      <c r="M146" s="21" t="s">
        <v>19</v>
      </c>
      <c r="N146" s="17">
        <v>282</v>
      </c>
      <c r="O146" s="18">
        <v>0.63</v>
      </c>
    </row>
    <row r="147" spans="1:15" ht="17.399999999999999" x14ac:dyDescent="0.3">
      <c r="A147" s="7">
        <v>141</v>
      </c>
      <c r="B147" s="8" t="str">
        <f>HYPERLINK("https://webapp.icbf.com/v2/app/bull-search/view/1492470237","JE4520")</f>
        <v>JE4520</v>
      </c>
      <c r="C147" s="9" t="s">
        <v>172</v>
      </c>
      <c r="D147" s="10" t="s">
        <v>16</v>
      </c>
      <c r="E147" s="10" t="s">
        <v>27</v>
      </c>
      <c r="F147" s="33" t="s">
        <v>166</v>
      </c>
      <c r="G147" s="34">
        <v>0.31</v>
      </c>
      <c r="H147" s="35">
        <v>0.23</v>
      </c>
      <c r="I147" s="21" t="s">
        <v>19</v>
      </c>
      <c r="J147" s="21" t="s">
        <v>19</v>
      </c>
      <c r="K147" s="21" t="s">
        <v>19</v>
      </c>
      <c r="L147" s="21" t="s">
        <v>19</v>
      </c>
      <c r="M147" s="21" t="s">
        <v>19</v>
      </c>
      <c r="N147" s="17">
        <v>216</v>
      </c>
      <c r="O147" s="18">
        <v>0.57999999999999996</v>
      </c>
    </row>
    <row r="148" spans="1:15" ht="17.399999999999999" x14ac:dyDescent="0.3">
      <c r="A148" s="7">
        <v>142</v>
      </c>
      <c r="B148" s="8" t="str">
        <f>HYPERLINK("https://webapp.icbf.com/v2/app/bull-search/view/1477174860","FR4490")</f>
        <v>FR4490</v>
      </c>
      <c r="C148" s="9" t="s">
        <v>173</v>
      </c>
      <c r="D148" s="10" t="s">
        <v>45</v>
      </c>
      <c r="E148" s="10" t="s">
        <v>62</v>
      </c>
      <c r="F148" s="33" t="s">
        <v>166</v>
      </c>
      <c r="G148" s="34">
        <v>0.31</v>
      </c>
      <c r="H148" s="35">
        <v>0.25</v>
      </c>
      <c r="I148" s="21" t="s">
        <v>19</v>
      </c>
      <c r="J148" s="21" t="s">
        <v>19</v>
      </c>
      <c r="K148" s="21" t="s">
        <v>19</v>
      </c>
      <c r="L148" s="21" t="s">
        <v>19</v>
      </c>
      <c r="M148" s="21" t="s">
        <v>19</v>
      </c>
      <c r="N148" s="17">
        <v>247</v>
      </c>
      <c r="O148" s="18">
        <v>0.6</v>
      </c>
    </row>
    <row r="149" spans="1:15" ht="17.399999999999999" x14ac:dyDescent="0.3">
      <c r="A149" s="7">
        <v>143</v>
      </c>
      <c r="B149" s="8" t="str">
        <f>HYPERLINK("https://webapp.icbf.com/v2/app/bull-search/view/1356073196","FR4176")</f>
        <v>FR4176</v>
      </c>
      <c r="C149" s="9" t="s">
        <v>174</v>
      </c>
      <c r="D149" s="10" t="s">
        <v>45</v>
      </c>
      <c r="E149" s="10" t="s">
        <v>27</v>
      </c>
      <c r="F149" s="33" t="s">
        <v>166</v>
      </c>
      <c r="G149" s="34">
        <v>0.31</v>
      </c>
      <c r="H149" s="35">
        <v>0.42</v>
      </c>
      <c r="I149" s="21">
        <v>2</v>
      </c>
      <c r="J149" s="21">
        <v>3</v>
      </c>
      <c r="K149" s="21">
        <v>124</v>
      </c>
      <c r="L149" s="23">
        <v>0.33</v>
      </c>
      <c r="M149" s="23">
        <v>0.13</v>
      </c>
      <c r="N149" s="17">
        <v>212</v>
      </c>
      <c r="O149" s="18">
        <v>0.81</v>
      </c>
    </row>
    <row r="150" spans="1:15" ht="17.399999999999999" x14ac:dyDescent="0.3">
      <c r="A150" s="7">
        <v>144</v>
      </c>
      <c r="B150" s="8" t="str">
        <f>HYPERLINK("https://webapp.icbf.com/v2/app/bull-search/view/1733764908","FR6031")</f>
        <v>FR6031</v>
      </c>
      <c r="C150" s="9" t="s">
        <v>175</v>
      </c>
      <c r="D150" s="10" t="s">
        <v>45</v>
      </c>
      <c r="E150" s="10" t="s">
        <v>62</v>
      </c>
      <c r="F150" s="33" t="s">
        <v>166</v>
      </c>
      <c r="G150" s="34">
        <v>0.31</v>
      </c>
      <c r="H150" s="35">
        <v>0.26</v>
      </c>
      <c r="I150" s="21" t="s">
        <v>19</v>
      </c>
      <c r="J150" s="21" t="s">
        <v>19</v>
      </c>
      <c r="K150" s="21" t="s">
        <v>19</v>
      </c>
      <c r="L150" s="21" t="s">
        <v>19</v>
      </c>
      <c r="M150" s="21" t="s">
        <v>19</v>
      </c>
      <c r="N150" s="17">
        <v>284</v>
      </c>
      <c r="O150" s="18">
        <v>0.61</v>
      </c>
    </row>
    <row r="151" spans="1:15" ht="17.399999999999999" x14ac:dyDescent="0.3">
      <c r="A151" s="7">
        <v>145</v>
      </c>
      <c r="B151" s="8" t="str">
        <f>HYPERLINK("https://webapp.icbf.com/v2/app/bull-search/view/1668662687","FR6565")</f>
        <v>FR6565</v>
      </c>
      <c r="C151" s="9" t="s">
        <v>176</v>
      </c>
      <c r="D151" s="10" t="s">
        <v>45</v>
      </c>
      <c r="E151" s="10" t="s">
        <v>17</v>
      </c>
      <c r="F151" s="33" t="s">
        <v>166</v>
      </c>
      <c r="G151" s="34">
        <v>0.31</v>
      </c>
      <c r="H151" s="35">
        <v>0.28999999999999998</v>
      </c>
      <c r="I151" s="21" t="s">
        <v>19</v>
      </c>
      <c r="J151" s="21" t="s">
        <v>19</v>
      </c>
      <c r="K151" s="21" t="s">
        <v>19</v>
      </c>
      <c r="L151" s="21" t="s">
        <v>19</v>
      </c>
      <c r="M151" s="21" t="s">
        <v>19</v>
      </c>
      <c r="N151" s="17">
        <v>211</v>
      </c>
      <c r="O151" s="18">
        <v>0.55000000000000004</v>
      </c>
    </row>
    <row r="152" spans="1:15" ht="17.399999999999999" x14ac:dyDescent="0.3">
      <c r="A152" s="7">
        <v>146</v>
      </c>
      <c r="B152" s="8" t="str">
        <f>HYPERLINK("https://webapp.icbf.com/v2/app/bull-search/view/863505179","RAZ   ")</f>
        <v xml:space="preserve">RAZ   </v>
      </c>
      <c r="C152" s="9" t="s">
        <v>177</v>
      </c>
      <c r="D152" s="10" t="s">
        <v>45</v>
      </c>
      <c r="E152" s="10" t="s">
        <v>27</v>
      </c>
      <c r="F152" s="33" t="s">
        <v>166</v>
      </c>
      <c r="G152" s="34">
        <v>0.31</v>
      </c>
      <c r="H152" s="35">
        <v>0.38</v>
      </c>
      <c r="I152" s="21">
        <v>9</v>
      </c>
      <c r="J152" s="21">
        <v>10</v>
      </c>
      <c r="K152" s="21">
        <v>98</v>
      </c>
      <c r="L152" s="22">
        <v>0</v>
      </c>
      <c r="M152" s="23">
        <v>0.1</v>
      </c>
      <c r="N152" s="17">
        <v>230</v>
      </c>
      <c r="O152" s="18">
        <v>0.86</v>
      </c>
    </row>
    <row r="153" spans="1:15" ht="17.399999999999999" x14ac:dyDescent="0.3">
      <c r="A153" s="7">
        <v>147</v>
      </c>
      <c r="B153" s="8" t="str">
        <f>HYPERLINK("https://webapp.icbf.com/v2/app/bull-search/view/1886043495","FR6880")</f>
        <v>FR6880</v>
      </c>
      <c r="C153" s="9" t="s">
        <v>178</v>
      </c>
      <c r="D153" s="10" t="s">
        <v>45</v>
      </c>
      <c r="E153" s="10" t="s">
        <v>21</v>
      </c>
      <c r="F153" s="33" t="s">
        <v>166</v>
      </c>
      <c r="G153" s="34">
        <v>0.31</v>
      </c>
      <c r="H153" s="35">
        <v>0.35</v>
      </c>
      <c r="I153" s="21" t="s">
        <v>19</v>
      </c>
      <c r="J153" s="21" t="s">
        <v>19</v>
      </c>
      <c r="K153" s="21" t="s">
        <v>19</v>
      </c>
      <c r="L153" s="21" t="s">
        <v>19</v>
      </c>
      <c r="M153" s="21" t="s">
        <v>19</v>
      </c>
      <c r="N153" s="17">
        <v>262</v>
      </c>
      <c r="O153" s="18">
        <v>0.57999999999999996</v>
      </c>
    </row>
    <row r="154" spans="1:15" ht="17.399999999999999" x14ac:dyDescent="0.3">
      <c r="A154" s="7">
        <v>148</v>
      </c>
      <c r="B154" s="8" t="str">
        <f>HYPERLINK("https://webapp.icbf.com/v2/app/bull-search/view/1039169947","HXF   ")</f>
        <v xml:space="preserve">HXF   </v>
      </c>
      <c r="C154" s="9" t="s">
        <v>179</v>
      </c>
      <c r="D154" s="10" t="s">
        <v>45</v>
      </c>
      <c r="E154" s="10" t="s">
        <v>27</v>
      </c>
      <c r="F154" s="33" t="s">
        <v>166</v>
      </c>
      <c r="G154" s="34">
        <v>0.31</v>
      </c>
      <c r="H154" s="35">
        <v>0.42</v>
      </c>
      <c r="I154" s="21" t="s">
        <v>19</v>
      </c>
      <c r="J154" s="21" t="s">
        <v>19</v>
      </c>
      <c r="K154" s="21" t="s">
        <v>19</v>
      </c>
      <c r="L154" s="21" t="s">
        <v>19</v>
      </c>
      <c r="M154" s="21" t="s">
        <v>19</v>
      </c>
      <c r="N154" s="17">
        <v>219</v>
      </c>
      <c r="O154" s="18">
        <v>0.61</v>
      </c>
    </row>
    <row r="155" spans="1:15" ht="17.399999999999999" x14ac:dyDescent="0.3">
      <c r="A155" s="7">
        <v>149</v>
      </c>
      <c r="B155" s="8" t="str">
        <f>HYPERLINK("https://webapp.icbf.com/v2/app/bull-search/view/1480626582","FR4515")</f>
        <v>FR4515</v>
      </c>
      <c r="C155" s="9" t="s">
        <v>180</v>
      </c>
      <c r="D155" s="10" t="s">
        <v>45</v>
      </c>
      <c r="E155" s="10" t="s">
        <v>27</v>
      </c>
      <c r="F155" s="33" t="s">
        <v>166</v>
      </c>
      <c r="G155" s="34">
        <v>0.32</v>
      </c>
      <c r="H155" s="35">
        <v>0.34</v>
      </c>
      <c r="I155" s="21" t="s">
        <v>19</v>
      </c>
      <c r="J155" s="21" t="s">
        <v>19</v>
      </c>
      <c r="K155" s="21" t="s">
        <v>19</v>
      </c>
      <c r="L155" s="21" t="s">
        <v>19</v>
      </c>
      <c r="M155" s="21" t="s">
        <v>19</v>
      </c>
      <c r="N155" s="17">
        <v>243</v>
      </c>
      <c r="O155" s="18">
        <v>0.63</v>
      </c>
    </row>
    <row r="156" spans="1:15" ht="17.399999999999999" x14ac:dyDescent="0.3">
      <c r="A156" s="7">
        <v>150</v>
      </c>
      <c r="B156" s="8" t="str">
        <f>HYPERLINK("https://webapp.icbf.com/v2/app/bull-search/view/1480169357","FR4540")</f>
        <v>FR4540</v>
      </c>
      <c r="C156" s="9" t="s">
        <v>181</v>
      </c>
      <c r="D156" s="10" t="s">
        <v>45</v>
      </c>
      <c r="E156" s="10" t="s">
        <v>27</v>
      </c>
      <c r="F156" s="33" t="s">
        <v>166</v>
      </c>
      <c r="G156" s="34">
        <v>0.32</v>
      </c>
      <c r="H156" s="35">
        <v>0.33</v>
      </c>
      <c r="I156" s="21">
        <v>2</v>
      </c>
      <c r="J156" s="21">
        <v>2</v>
      </c>
      <c r="K156" s="21">
        <v>4</v>
      </c>
      <c r="L156" s="23">
        <v>0.5</v>
      </c>
      <c r="M156" s="21" t="s">
        <v>19</v>
      </c>
      <c r="N156" s="17">
        <v>223</v>
      </c>
      <c r="O156" s="18">
        <v>0.64</v>
      </c>
    </row>
    <row r="157" spans="1:15" ht="17.399999999999999" x14ac:dyDescent="0.3">
      <c r="A157" s="7">
        <v>151</v>
      </c>
      <c r="B157" s="8" t="str">
        <f>HYPERLINK("https://webapp.icbf.com/v2/app/bull-search/view/1728127548","FR5716")</f>
        <v>FR5716</v>
      </c>
      <c r="C157" s="9" t="s">
        <v>182</v>
      </c>
      <c r="D157" s="10" t="s">
        <v>45</v>
      </c>
      <c r="E157" s="10" t="s">
        <v>21</v>
      </c>
      <c r="F157" s="33" t="s">
        <v>166</v>
      </c>
      <c r="G157" s="34">
        <v>0.32</v>
      </c>
      <c r="H157" s="35">
        <v>0.3</v>
      </c>
      <c r="I157" s="21" t="s">
        <v>19</v>
      </c>
      <c r="J157" s="21" t="s">
        <v>19</v>
      </c>
      <c r="K157" s="21" t="s">
        <v>19</v>
      </c>
      <c r="L157" s="21" t="s">
        <v>19</v>
      </c>
      <c r="M157" s="21" t="s">
        <v>19</v>
      </c>
      <c r="N157" s="17">
        <v>243</v>
      </c>
      <c r="O157" s="18">
        <v>0.6</v>
      </c>
    </row>
    <row r="158" spans="1:15" ht="17.399999999999999" x14ac:dyDescent="0.3">
      <c r="A158" s="7">
        <v>152</v>
      </c>
      <c r="B158" s="8" t="str">
        <f>HYPERLINK("https://webapp.icbf.com/v2/app/bull-search/view/1731255999","FR5851")</f>
        <v>FR5851</v>
      </c>
      <c r="C158" s="9" t="s">
        <v>183</v>
      </c>
      <c r="D158" s="10" t="s">
        <v>45</v>
      </c>
      <c r="E158" s="10" t="s">
        <v>21</v>
      </c>
      <c r="F158" s="33" t="s">
        <v>166</v>
      </c>
      <c r="G158" s="34">
        <v>0.32</v>
      </c>
      <c r="H158" s="35">
        <v>0.36</v>
      </c>
      <c r="I158" s="21" t="s">
        <v>19</v>
      </c>
      <c r="J158" s="21" t="s">
        <v>19</v>
      </c>
      <c r="K158" s="21" t="s">
        <v>19</v>
      </c>
      <c r="L158" s="21" t="s">
        <v>19</v>
      </c>
      <c r="M158" s="21" t="s">
        <v>19</v>
      </c>
      <c r="N158" s="17">
        <v>259</v>
      </c>
      <c r="O158" s="18">
        <v>0.61</v>
      </c>
    </row>
    <row r="159" spans="1:15" ht="17.399999999999999" x14ac:dyDescent="0.3">
      <c r="A159" s="7">
        <v>153</v>
      </c>
      <c r="B159" s="8" t="str">
        <f>HYPERLINK("https://webapp.icbf.com/v2/app/bull-search/view/1472044532","FR6793")</f>
        <v>FR6793</v>
      </c>
      <c r="C159" s="9" t="s">
        <v>184</v>
      </c>
      <c r="D159" s="10" t="s">
        <v>16</v>
      </c>
      <c r="E159" s="10" t="s">
        <v>17</v>
      </c>
      <c r="F159" s="33" t="s">
        <v>166</v>
      </c>
      <c r="G159" s="34">
        <v>0.32</v>
      </c>
      <c r="H159" s="35">
        <v>0.22</v>
      </c>
      <c r="I159" s="21" t="s">
        <v>19</v>
      </c>
      <c r="J159" s="21" t="s">
        <v>19</v>
      </c>
      <c r="K159" s="21" t="s">
        <v>19</v>
      </c>
      <c r="L159" s="21" t="s">
        <v>19</v>
      </c>
      <c r="M159" s="21" t="s">
        <v>19</v>
      </c>
      <c r="N159" s="17">
        <v>213</v>
      </c>
      <c r="O159" s="18">
        <v>0.56000000000000005</v>
      </c>
    </row>
    <row r="160" spans="1:15" ht="17.399999999999999" x14ac:dyDescent="0.3">
      <c r="A160" s="7">
        <v>154</v>
      </c>
      <c r="B160" s="8" t="str">
        <f>HYPERLINK("https://webapp.icbf.com/v2/app/bull-search/view/1276120135","FR2262")</f>
        <v>FR2262</v>
      </c>
      <c r="C160" s="9" t="s">
        <v>185</v>
      </c>
      <c r="D160" s="10" t="s">
        <v>45</v>
      </c>
      <c r="E160" s="10" t="s">
        <v>27</v>
      </c>
      <c r="F160" s="33" t="s">
        <v>166</v>
      </c>
      <c r="G160" s="34">
        <v>0.32</v>
      </c>
      <c r="H160" s="35">
        <v>0.41</v>
      </c>
      <c r="I160" s="21" t="s">
        <v>19</v>
      </c>
      <c r="J160" s="21" t="s">
        <v>19</v>
      </c>
      <c r="K160" s="21" t="s">
        <v>19</v>
      </c>
      <c r="L160" s="21" t="s">
        <v>19</v>
      </c>
      <c r="M160" s="21" t="s">
        <v>19</v>
      </c>
      <c r="N160" s="17">
        <v>233</v>
      </c>
      <c r="O160" s="18">
        <v>0.83</v>
      </c>
    </row>
    <row r="161" spans="1:15" ht="17.399999999999999" x14ac:dyDescent="0.3">
      <c r="A161" s="7">
        <v>155</v>
      </c>
      <c r="B161" s="8" t="str">
        <f>HYPERLINK("https://webapp.icbf.com/v2/app/bull-search/view/1604318921","FR5313")</f>
        <v>FR5313</v>
      </c>
      <c r="C161" s="9" t="s">
        <v>186</v>
      </c>
      <c r="D161" s="10" t="s">
        <v>45</v>
      </c>
      <c r="E161" s="10" t="s">
        <v>27</v>
      </c>
      <c r="F161" s="33" t="s">
        <v>166</v>
      </c>
      <c r="G161" s="34">
        <v>0.32</v>
      </c>
      <c r="H161" s="35">
        <v>0.36</v>
      </c>
      <c r="I161" s="21" t="s">
        <v>19</v>
      </c>
      <c r="J161" s="21" t="s">
        <v>19</v>
      </c>
      <c r="K161" s="21" t="s">
        <v>19</v>
      </c>
      <c r="L161" s="21" t="s">
        <v>19</v>
      </c>
      <c r="M161" s="21" t="s">
        <v>19</v>
      </c>
      <c r="N161" s="17">
        <v>230</v>
      </c>
      <c r="O161" s="18">
        <v>0.62</v>
      </c>
    </row>
    <row r="162" spans="1:15" ht="17.399999999999999" x14ac:dyDescent="0.3">
      <c r="A162" s="7">
        <v>156</v>
      </c>
      <c r="B162" s="8" t="str">
        <f>HYPERLINK("https://webapp.icbf.com/v2/app/bull-search/view/1702212874","FR5782")</f>
        <v>FR5782</v>
      </c>
      <c r="C162" s="9" t="s">
        <v>187</v>
      </c>
      <c r="D162" s="10" t="s">
        <v>45</v>
      </c>
      <c r="E162" s="10" t="s">
        <v>145</v>
      </c>
      <c r="F162" s="33" t="s">
        <v>166</v>
      </c>
      <c r="G162" s="34">
        <v>0.32</v>
      </c>
      <c r="H162" s="35">
        <v>0.28000000000000003</v>
      </c>
      <c r="I162" s="21" t="s">
        <v>19</v>
      </c>
      <c r="J162" s="21" t="s">
        <v>19</v>
      </c>
      <c r="K162" s="21" t="s">
        <v>19</v>
      </c>
      <c r="L162" s="21" t="s">
        <v>19</v>
      </c>
      <c r="M162" s="21" t="s">
        <v>19</v>
      </c>
      <c r="N162" s="17">
        <v>212</v>
      </c>
      <c r="O162" s="18">
        <v>0.56000000000000005</v>
      </c>
    </row>
    <row r="163" spans="1:15" ht="17.399999999999999" x14ac:dyDescent="0.3">
      <c r="A163" s="7">
        <v>157</v>
      </c>
      <c r="B163" s="8" t="str">
        <f>HYPERLINK("https://webapp.icbf.com/v2/app/bull-search/view/1470269824","FR4394")</f>
        <v>FR4394</v>
      </c>
      <c r="C163" s="9" t="s">
        <v>188</v>
      </c>
      <c r="D163" s="10" t="s">
        <v>45</v>
      </c>
      <c r="E163" s="10" t="s">
        <v>21</v>
      </c>
      <c r="F163" s="33" t="s">
        <v>166</v>
      </c>
      <c r="G163" s="34">
        <v>0.32</v>
      </c>
      <c r="H163" s="35">
        <v>0.38</v>
      </c>
      <c r="I163" s="21" t="s">
        <v>19</v>
      </c>
      <c r="J163" s="21" t="s">
        <v>19</v>
      </c>
      <c r="K163" s="21" t="s">
        <v>19</v>
      </c>
      <c r="L163" s="21" t="s">
        <v>19</v>
      </c>
      <c r="M163" s="21" t="s">
        <v>19</v>
      </c>
      <c r="N163" s="17">
        <v>205</v>
      </c>
      <c r="O163" s="18">
        <v>0.61</v>
      </c>
    </row>
    <row r="164" spans="1:15" ht="17.399999999999999" x14ac:dyDescent="0.3">
      <c r="A164" s="7">
        <v>158</v>
      </c>
      <c r="B164" s="8" t="str">
        <f>HYPERLINK("https://webapp.icbf.com/v2/app/bull-search/view/1480631926","FR4588")</f>
        <v>FR4588</v>
      </c>
      <c r="C164" s="9" t="s">
        <v>189</v>
      </c>
      <c r="D164" s="10" t="s">
        <v>45</v>
      </c>
      <c r="E164" s="10" t="s">
        <v>27</v>
      </c>
      <c r="F164" s="33" t="s">
        <v>166</v>
      </c>
      <c r="G164" s="34">
        <v>0.32</v>
      </c>
      <c r="H164" s="35">
        <v>0.33</v>
      </c>
      <c r="I164" s="21" t="s">
        <v>19</v>
      </c>
      <c r="J164" s="21" t="s">
        <v>19</v>
      </c>
      <c r="K164" s="21" t="s">
        <v>19</v>
      </c>
      <c r="L164" s="21" t="s">
        <v>19</v>
      </c>
      <c r="M164" s="21" t="s">
        <v>19</v>
      </c>
      <c r="N164" s="17">
        <v>247</v>
      </c>
      <c r="O164" s="18">
        <v>0.63</v>
      </c>
    </row>
    <row r="165" spans="1:15" ht="17.399999999999999" x14ac:dyDescent="0.3">
      <c r="A165" s="7">
        <v>159</v>
      </c>
      <c r="B165" s="8" t="str">
        <f>HYPERLINK("https://webapp.icbf.com/v2/app/bull-search/view/1865178838","FR6517")</f>
        <v>FR6517</v>
      </c>
      <c r="C165" s="9" t="s">
        <v>190</v>
      </c>
      <c r="D165" s="10" t="s">
        <v>45</v>
      </c>
      <c r="E165" s="10" t="s">
        <v>27</v>
      </c>
      <c r="F165" s="33" t="s">
        <v>166</v>
      </c>
      <c r="G165" s="34">
        <v>0.32</v>
      </c>
      <c r="H165" s="35">
        <v>0.28000000000000003</v>
      </c>
      <c r="I165" s="21" t="s">
        <v>19</v>
      </c>
      <c r="J165" s="21" t="s">
        <v>19</v>
      </c>
      <c r="K165" s="21" t="s">
        <v>19</v>
      </c>
      <c r="L165" s="21" t="s">
        <v>19</v>
      </c>
      <c r="M165" s="21" t="s">
        <v>19</v>
      </c>
      <c r="N165" s="17">
        <v>321</v>
      </c>
      <c r="O165" s="18">
        <v>0.51</v>
      </c>
    </row>
    <row r="166" spans="1:15" ht="17.399999999999999" x14ac:dyDescent="0.3">
      <c r="A166" s="7">
        <v>160</v>
      </c>
      <c r="B166" s="8" t="str">
        <f>HYPERLINK("https://webapp.icbf.com/v2/app/bull-search/view/1937155322","FR7062")</f>
        <v>FR7062</v>
      </c>
      <c r="C166" s="9" t="s">
        <v>191</v>
      </c>
      <c r="D166" s="10" t="s">
        <v>45</v>
      </c>
      <c r="E166" s="10" t="s">
        <v>17</v>
      </c>
      <c r="F166" s="33" t="s">
        <v>166</v>
      </c>
      <c r="G166" s="34">
        <v>0.32</v>
      </c>
      <c r="H166" s="35">
        <v>0.27</v>
      </c>
      <c r="I166" s="21" t="s">
        <v>19</v>
      </c>
      <c r="J166" s="21" t="s">
        <v>19</v>
      </c>
      <c r="K166" s="21" t="s">
        <v>19</v>
      </c>
      <c r="L166" s="21" t="s">
        <v>19</v>
      </c>
      <c r="M166" s="21" t="s">
        <v>19</v>
      </c>
      <c r="N166" s="17">
        <v>279</v>
      </c>
      <c r="O166" s="18">
        <v>0.48</v>
      </c>
    </row>
    <row r="167" spans="1:15" ht="17.399999999999999" x14ac:dyDescent="0.3">
      <c r="A167" s="7">
        <v>161</v>
      </c>
      <c r="B167" s="8" t="str">
        <f>HYPERLINK("https://webapp.icbf.com/v2/app/bull-search/view/1308726526","FR2226")</f>
        <v>FR2226</v>
      </c>
      <c r="C167" s="9" t="s">
        <v>192</v>
      </c>
      <c r="D167" s="10" t="s">
        <v>45</v>
      </c>
      <c r="E167" s="10" t="s">
        <v>17</v>
      </c>
      <c r="F167" s="33" t="s">
        <v>166</v>
      </c>
      <c r="G167" s="34">
        <v>0.32</v>
      </c>
      <c r="H167" s="35">
        <v>0.37</v>
      </c>
      <c r="I167" s="21">
        <v>22</v>
      </c>
      <c r="J167" s="21">
        <v>30</v>
      </c>
      <c r="K167" s="21">
        <v>480</v>
      </c>
      <c r="L167" s="22">
        <v>3.3000000000000002E-2</v>
      </c>
      <c r="M167" s="22">
        <v>0.05</v>
      </c>
      <c r="N167" s="17">
        <v>241</v>
      </c>
      <c r="O167" s="18">
        <v>0.9</v>
      </c>
    </row>
    <row r="168" spans="1:15" ht="17.399999999999999" x14ac:dyDescent="0.3">
      <c r="A168" s="7">
        <v>162</v>
      </c>
      <c r="B168" s="8" t="str">
        <f>HYPERLINK("https://webapp.icbf.com/v2/app/bull-search/view/1487836446","FR4690")</f>
        <v>FR4690</v>
      </c>
      <c r="C168" s="9" t="s">
        <v>193</v>
      </c>
      <c r="D168" s="10" t="s">
        <v>45</v>
      </c>
      <c r="E168" s="10" t="s">
        <v>21</v>
      </c>
      <c r="F168" s="33" t="s">
        <v>166</v>
      </c>
      <c r="G168" s="34">
        <v>0.32</v>
      </c>
      <c r="H168" s="35">
        <v>0.31</v>
      </c>
      <c r="I168" s="21" t="s">
        <v>19</v>
      </c>
      <c r="J168" s="21" t="s">
        <v>19</v>
      </c>
      <c r="K168" s="21" t="s">
        <v>19</v>
      </c>
      <c r="L168" s="21" t="s">
        <v>19</v>
      </c>
      <c r="M168" s="21" t="s">
        <v>19</v>
      </c>
      <c r="N168" s="17">
        <v>226</v>
      </c>
      <c r="O168" s="18">
        <v>0.62</v>
      </c>
    </row>
    <row r="169" spans="1:15" ht="17.399999999999999" x14ac:dyDescent="0.3">
      <c r="A169" s="7">
        <v>163</v>
      </c>
      <c r="B169" s="8" t="str">
        <f>HYPERLINK("https://webapp.icbf.com/v2/app/bull-search/view/1726816974","FR5857")</f>
        <v>FR5857</v>
      </c>
      <c r="C169" s="9" t="s">
        <v>194</v>
      </c>
      <c r="D169" s="10" t="s">
        <v>45</v>
      </c>
      <c r="E169" s="10" t="s">
        <v>21</v>
      </c>
      <c r="F169" s="33" t="s">
        <v>166</v>
      </c>
      <c r="G169" s="34">
        <v>0.32</v>
      </c>
      <c r="H169" s="35">
        <v>0.37</v>
      </c>
      <c r="I169" s="21" t="s">
        <v>19</v>
      </c>
      <c r="J169" s="21" t="s">
        <v>19</v>
      </c>
      <c r="K169" s="21" t="s">
        <v>19</v>
      </c>
      <c r="L169" s="21" t="s">
        <v>19</v>
      </c>
      <c r="M169" s="21" t="s">
        <v>19</v>
      </c>
      <c r="N169" s="17">
        <v>289</v>
      </c>
      <c r="O169" s="18">
        <v>0.64</v>
      </c>
    </row>
    <row r="170" spans="1:15" ht="17.399999999999999" x14ac:dyDescent="0.3">
      <c r="A170" s="7">
        <v>164</v>
      </c>
      <c r="B170" s="8" t="str">
        <f>HYPERLINK("https://webapp.icbf.com/v2/app/bull-search/view/1737727820","FR5863")</f>
        <v>FR5863</v>
      </c>
      <c r="C170" s="9" t="s">
        <v>195</v>
      </c>
      <c r="D170" s="10" t="s">
        <v>45</v>
      </c>
      <c r="E170" s="10" t="s">
        <v>21</v>
      </c>
      <c r="F170" s="33" t="s">
        <v>166</v>
      </c>
      <c r="G170" s="34">
        <v>0.32</v>
      </c>
      <c r="H170" s="35">
        <v>0.34</v>
      </c>
      <c r="I170" s="21" t="s">
        <v>19</v>
      </c>
      <c r="J170" s="21" t="s">
        <v>19</v>
      </c>
      <c r="K170" s="21" t="s">
        <v>19</v>
      </c>
      <c r="L170" s="21" t="s">
        <v>19</v>
      </c>
      <c r="M170" s="21" t="s">
        <v>19</v>
      </c>
      <c r="N170" s="17">
        <v>232</v>
      </c>
      <c r="O170" s="18">
        <v>0.62</v>
      </c>
    </row>
    <row r="171" spans="1:15" ht="17.399999999999999" x14ac:dyDescent="0.3">
      <c r="A171" s="7">
        <v>165</v>
      </c>
      <c r="B171" s="8" t="str">
        <f>HYPERLINK("https://webapp.icbf.com/v2/app/bull-search/view/1863919633","FR6778")</f>
        <v>FR6778</v>
      </c>
      <c r="C171" s="9" t="s">
        <v>196</v>
      </c>
      <c r="D171" s="10" t="s">
        <v>45</v>
      </c>
      <c r="E171" s="10" t="s">
        <v>27</v>
      </c>
      <c r="F171" s="33" t="s">
        <v>166</v>
      </c>
      <c r="G171" s="34">
        <v>0.32</v>
      </c>
      <c r="H171" s="35">
        <v>0.34</v>
      </c>
      <c r="I171" s="21" t="s">
        <v>19</v>
      </c>
      <c r="J171" s="21" t="s">
        <v>19</v>
      </c>
      <c r="K171" s="21" t="s">
        <v>19</v>
      </c>
      <c r="L171" s="21" t="s">
        <v>19</v>
      </c>
      <c r="M171" s="21" t="s">
        <v>19</v>
      </c>
      <c r="N171" s="17">
        <v>315</v>
      </c>
      <c r="O171" s="18">
        <v>0.53</v>
      </c>
    </row>
    <row r="172" spans="1:15" ht="17.399999999999999" x14ac:dyDescent="0.3">
      <c r="A172" s="7">
        <v>166</v>
      </c>
      <c r="B172" s="8" t="str">
        <f>HYPERLINK("https://webapp.icbf.com/v2/app/bull-search/view/1846314407","FR7002")</f>
        <v>FR7002</v>
      </c>
      <c r="C172" s="9" t="s">
        <v>197</v>
      </c>
      <c r="D172" s="10" t="s">
        <v>45</v>
      </c>
      <c r="E172" s="10" t="s">
        <v>27</v>
      </c>
      <c r="F172" s="33" t="s">
        <v>166</v>
      </c>
      <c r="G172" s="34">
        <v>0.32</v>
      </c>
      <c r="H172" s="35">
        <v>0.28999999999999998</v>
      </c>
      <c r="I172" s="21" t="s">
        <v>19</v>
      </c>
      <c r="J172" s="21" t="s">
        <v>19</v>
      </c>
      <c r="K172" s="21" t="s">
        <v>19</v>
      </c>
      <c r="L172" s="21" t="s">
        <v>19</v>
      </c>
      <c r="M172" s="21" t="s">
        <v>19</v>
      </c>
      <c r="N172" s="17">
        <v>306</v>
      </c>
      <c r="O172" s="18">
        <v>0.51</v>
      </c>
    </row>
    <row r="173" spans="1:15" ht="17.399999999999999" x14ac:dyDescent="0.3">
      <c r="A173" s="7">
        <v>167</v>
      </c>
      <c r="B173" s="8" t="str">
        <f>HYPERLINK("https://webapp.icbf.com/v2/app/bull-search/view/1151598829","TFZ   ")</f>
        <v xml:space="preserve">TFZ   </v>
      </c>
      <c r="C173" s="9" t="s">
        <v>198</v>
      </c>
      <c r="D173" s="10" t="s">
        <v>45</v>
      </c>
      <c r="E173" s="10" t="s">
        <v>21</v>
      </c>
      <c r="F173" s="33" t="s">
        <v>166</v>
      </c>
      <c r="G173" s="34">
        <v>0.32</v>
      </c>
      <c r="H173" s="35">
        <v>0.55000000000000004</v>
      </c>
      <c r="I173" s="21">
        <v>134</v>
      </c>
      <c r="J173" s="21">
        <v>207</v>
      </c>
      <c r="K173" s="21">
        <v>1944</v>
      </c>
      <c r="L173" s="23">
        <v>0.14000000000000001</v>
      </c>
      <c r="M173" s="23">
        <v>0.11</v>
      </c>
      <c r="N173" s="17">
        <v>206</v>
      </c>
      <c r="O173" s="18">
        <v>0.95</v>
      </c>
    </row>
    <row r="174" spans="1:15" ht="17.399999999999999" x14ac:dyDescent="0.3">
      <c r="A174" s="7">
        <v>168</v>
      </c>
      <c r="B174" s="8" t="str">
        <f>HYPERLINK("https://webapp.icbf.com/v2/app/bull-search/view/1609690049","FR5109")</f>
        <v>FR5109</v>
      </c>
      <c r="C174" s="9" t="s">
        <v>199</v>
      </c>
      <c r="D174" s="10" t="s">
        <v>45</v>
      </c>
      <c r="E174" s="10" t="s">
        <v>17</v>
      </c>
      <c r="F174" s="33" t="s">
        <v>166</v>
      </c>
      <c r="G174" s="34">
        <v>0.32</v>
      </c>
      <c r="H174" s="35">
        <v>0.4</v>
      </c>
      <c r="I174" s="21" t="s">
        <v>19</v>
      </c>
      <c r="J174" s="21" t="s">
        <v>19</v>
      </c>
      <c r="K174" s="21" t="s">
        <v>19</v>
      </c>
      <c r="L174" s="21" t="s">
        <v>19</v>
      </c>
      <c r="M174" s="21" t="s">
        <v>19</v>
      </c>
      <c r="N174" s="17">
        <v>237</v>
      </c>
      <c r="O174" s="18">
        <v>0.64</v>
      </c>
    </row>
    <row r="175" spans="1:15" ht="17.399999999999999" x14ac:dyDescent="0.3">
      <c r="A175" s="7">
        <v>169</v>
      </c>
      <c r="B175" s="8" t="str">
        <f>HYPERLINK("https://webapp.icbf.com/v2/app/bull-search/view/1748968098","FR6034")</f>
        <v>FR6034</v>
      </c>
      <c r="C175" s="9" t="s">
        <v>200</v>
      </c>
      <c r="D175" s="10" t="s">
        <v>45</v>
      </c>
      <c r="E175" s="10" t="s">
        <v>62</v>
      </c>
      <c r="F175" s="33" t="s">
        <v>166</v>
      </c>
      <c r="G175" s="34">
        <v>0.32</v>
      </c>
      <c r="H175" s="35">
        <v>0.26</v>
      </c>
      <c r="I175" s="21" t="s">
        <v>19</v>
      </c>
      <c r="J175" s="21" t="s">
        <v>19</v>
      </c>
      <c r="K175" s="21" t="s">
        <v>19</v>
      </c>
      <c r="L175" s="21" t="s">
        <v>19</v>
      </c>
      <c r="M175" s="21" t="s">
        <v>19</v>
      </c>
      <c r="N175" s="17">
        <v>296</v>
      </c>
      <c r="O175" s="18">
        <v>0.53</v>
      </c>
    </row>
    <row r="176" spans="1:15" ht="17.399999999999999" x14ac:dyDescent="0.3">
      <c r="A176" s="7">
        <v>170</v>
      </c>
      <c r="B176" s="8" t="str">
        <f>HYPERLINK("https://webapp.icbf.com/v2/app/bull-search/view/1605556343","FR4914")</f>
        <v>FR4914</v>
      </c>
      <c r="C176" s="9" t="s">
        <v>201</v>
      </c>
      <c r="D176" s="10" t="s">
        <v>45</v>
      </c>
      <c r="E176" s="10" t="s">
        <v>27</v>
      </c>
      <c r="F176" s="33" t="s">
        <v>166</v>
      </c>
      <c r="G176" s="34">
        <v>0.32</v>
      </c>
      <c r="H176" s="35">
        <v>0.38</v>
      </c>
      <c r="I176" s="21" t="s">
        <v>19</v>
      </c>
      <c r="J176" s="21" t="s">
        <v>19</v>
      </c>
      <c r="K176" s="21" t="s">
        <v>19</v>
      </c>
      <c r="L176" s="21" t="s">
        <v>19</v>
      </c>
      <c r="M176" s="21" t="s">
        <v>19</v>
      </c>
      <c r="N176" s="17">
        <v>211</v>
      </c>
      <c r="O176" s="18">
        <v>0.63</v>
      </c>
    </row>
    <row r="177" spans="1:15" ht="17.399999999999999" x14ac:dyDescent="0.3">
      <c r="A177" s="7">
        <v>171</v>
      </c>
      <c r="B177" s="8" t="str">
        <f>HYPERLINK("https://webapp.icbf.com/v2/app/bull-search/view/1851604378","FR7023")</f>
        <v>FR7023</v>
      </c>
      <c r="C177" s="9" t="s">
        <v>202</v>
      </c>
      <c r="D177" s="10" t="s">
        <v>45</v>
      </c>
      <c r="E177" s="10" t="s">
        <v>27</v>
      </c>
      <c r="F177" s="33" t="s">
        <v>166</v>
      </c>
      <c r="G177" s="34">
        <v>0.32</v>
      </c>
      <c r="H177" s="35">
        <v>0.28999999999999998</v>
      </c>
      <c r="I177" s="21" t="s">
        <v>19</v>
      </c>
      <c r="J177" s="21" t="s">
        <v>19</v>
      </c>
      <c r="K177" s="21" t="s">
        <v>19</v>
      </c>
      <c r="L177" s="21" t="s">
        <v>19</v>
      </c>
      <c r="M177" s="21" t="s">
        <v>19</v>
      </c>
      <c r="N177" s="17">
        <v>312</v>
      </c>
      <c r="O177" s="18">
        <v>0.51</v>
      </c>
    </row>
    <row r="178" spans="1:15" ht="17.399999999999999" x14ac:dyDescent="0.3">
      <c r="A178" s="7">
        <v>172</v>
      </c>
      <c r="B178" s="8" t="str">
        <f>HYPERLINK("https://webapp.icbf.com/v2/app/bull-search/view/1051186969","FYK   ")</f>
        <v xml:space="preserve">FYK   </v>
      </c>
      <c r="C178" s="9" t="s">
        <v>203</v>
      </c>
      <c r="D178" s="10" t="s">
        <v>45</v>
      </c>
      <c r="E178" s="10" t="s">
        <v>27</v>
      </c>
      <c r="F178" s="33" t="s">
        <v>166</v>
      </c>
      <c r="G178" s="34">
        <v>0.32</v>
      </c>
      <c r="H178" s="35">
        <v>0.68</v>
      </c>
      <c r="I178" s="21">
        <v>306</v>
      </c>
      <c r="J178" s="21">
        <v>505</v>
      </c>
      <c r="K178" s="21">
        <v>4682</v>
      </c>
      <c r="L178" s="23">
        <v>0.17</v>
      </c>
      <c r="M178" s="23">
        <v>0.13</v>
      </c>
      <c r="N178" s="17">
        <v>206</v>
      </c>
      <c r="O178" s="18">
        <v>0.97</v>
      </c>
    </row>
    <row r="179" spans="1:15" ht="17.399999999999999" x14ac:dyDescent="0.3">
      <c r="A179" s="7">
        <v>173</v>
      </c>
      <c r="B179" s="8" t="str">
        <f>HYPERLINK("https://webapp.icbf.com/v2/app/bull-search/view/1744362741","FR5917")</f>
        <v>FR5917</v>
      </c>
      <c r="C179" s="9" t="s">
        <v>204</v>
      </c>
      <c r="D179" s="10" t="s">
        <v>45</v>
      </c>
      <c r="E179" s="10" t="s">
        <v>27</v>
      </c>
      <c r="F179" s="33" t="s">
        <v>166</v>
      </c>
      <c r="G179" s="34">
        <v>0.32</v>
      </c>
      <c r="H179" s="35">
        <v>0.32</v>
      </c>
      <c r="I179" s="21" t="s">
        <v>19</v>
      </c>
      <c r="J179" s="21" t="s">
        <v>19</v>
      </c>
      <c r="K179" s="21" t="s">
        <v>19</v>
      </c>
      <c r="L179" s="21" t="s">
        <v>19</v>
      </c>
      <c r="M179" s="21" t="s">
        <v>19</v>
      </c>
      <c r="N179" s="17">
        <v>237</v>
      </c>
      <c r="O179" s="18">
        <v>0.56000000000000005</v>
      </c>
    </row>
    <row r="180" spans="1:15" ht="17.399999999999999" x14ac:dyDescent="0.3">
      <c r="A180" s="7">
        <v>174</v>
      </c>
      <c r="B180" s="8" t="str">
        <f>HYPERLINK("https://webapp.icbf.com/v2/app/bull-search/view/1376482784","FR5968")</f>
        <v>FR5968</v>
      </c>
      <c r="C180" s="9" t="s">
        <v>205</v>
      </c>
      <c r="D180" s="10" t="s">
        <v>45</v>
      </c>
      <c r="E180" s="10" t="s">
        <v>17</v>
      </c>
      <c r="F180" s="33" t="s">
        <v>166</v>
      </c>
      <c r="G180" s="34">
        <v>0.32</v>
      </c>
      <c r="H180" s="35">
        <v>0.31</v>
      </c>
      <c r="I180" s="21" t="s">
        <v>19</v>
      </c>
      <c r="J180" s="21" t="s">
        <v>19</v>
      </c>
      <c r="K180" s="21" t="s">
        <v>19</v>
      </c>
      <c r="L180" s="21" t="s">
        <v>19</v>
      </c>
      <c r="M180" s="21" t="s">
        <v>19</v>
      </c>
      <c r="N180" s="17">
        <v>244</v>
      </c>
      <c r="O180" s="18">
        <v>0.69</v>
      </c>
    </row>
    <row r="181" spans="1:15" ht="17.399999999999999" x14ac:dyDescent="0.3">
      <c r="A181" s="7">
        <v>175</v>
      </c>
      <c r="B181" s="8" t="str">
        <f>HYPERLINK("https://webapp.icbf.com/v2/app/bull-search/view/1734959513","FR6079")</f>
        <v>FR6079</v>
      </c>
      <c r="C181" s="9" t="s">
        <v>206</v>
      </c>
      <c r="D181" s="10" t="s">
        <v>45</v>
      </c>
      <c r="E181" s="10" t="s">
        <v>17</v>
      </c>
      <c r="F181" s="33" t="s">
        <v>166</v>
      </c>
      <c r="G181" s="34">
        <v>0.32</v>
      </c>
      <c r="H181" s="35">
        <v>0.35</v>
      </c>
      <c r="I181" s="21" t="s">
        <v>19</v>
      </c>
      <c r="J181" s="21" t="s">
        <v>19</v>
      </c>
      <c r="K181" s="21" t="s">
        <v>19</v>
      </c>
      <c r="L181" s="21" t="s">
        <v>19</v>
      </c>
      <c r="M181" s="21" t="s">
        <v>19</v>
      </c>
      <c r="N181" s="17">
        <v>245</v>
      </c>
      <c r="O181" s="18">
        <v>0.61</v>
      </c>
    </row>
    <row r="182" spans="1:15" ht="17.399999999999999" x14ac:dyDescent="0.3">
      <c r="A182" s="7">
        <v>176</v>
      </c>
      <c r="B182" s="8" t="str">
        <f>HYPERLINK("https://webapp.icbf.com/v2/app/bull-search/view/865544886","XRY   ")</f>
        <v xml:space="preserve">XRY   </v>
      </c>
      <c r="C182" s="9" t="s">
        <v>207</v>
      </c>
      <c r="D182" s="10" t="s">
        <v>45</v>
      </c>
      <c r="E182" s="10" t="s">
        <v>27</v>
      </c>
      <c r="F182" s="33" t="s">
        <v>166</v>
      </c>
      <c r="G182" s="34">
        <v>0.32</v>
      </c>
      <c r="H182" s="35">
        <v>0.44</v>
      </c>
      <c r="I182" s="21">
        <v>11</v>
      </c>
      <c r="J182" s="21">
        <v>11</v>
      </c>
      <c r="K182" s="21">
        <v>280</v>
      </c>
      <c r="L182" s="22">
        <v>0</v>
      </c>
      <c r="M182" s="22">
        <v>1.7999999999999999E-2</v>
      </c>
      <c r="N182" s="17">
        <v>215</v>
      </c>
      <c r="O182" s="18">
        <v>0.83</v>
      </c>
    </row>
    <row r="183" spans="1:15" ht="17.399999999999999" x14ac:dyDescent="0.3">
      <c r="A183" s="7">
        <v>177</v>
      </c>
      <c r="B183" s="8" t="str">
        <f>HYPERLINK("https://webapp.icbf.com/v2/app/bull-search/view/1250998213","FR2426")</f>
        <v>FR2426</v>
      </c>
      <c r="C183" s="9" t="s">
        <v>208</v>
      </c>
      <c r="D183" s="10" t="s">
        <v>45</v>
      </c>
      <c r="E183" s="10" t="s">
        <v>17</v>
      </c>
      <c r="F183" s="33" t="s">
        <v>166</v>
      </c>
      <c r="G183" s="34">
        <v>0.32</v>
      </c>
      <c r="H183" s="35">
        <v>0.46</v>
      </c>
      <c r="I183" s="21">
        <v>46</v>
      </c>
      <c r="J183" s="21">
        <v>72</v>
      </c>
      <c r="K183" s="21">
        <v>1001</v>
      </c>
      <c r="L183" s="23">
        <v>0.11</v>
      </c>
      <c r="M183" s="22">
        <v>0.06</v>
      </c>
      <c r="N183" s="17">
        <v>211</v>
      </c>
      <c r="O183" s="18">
        <v>0.91</v>
      </c>
    </row>
    <row r="184" spans="1:15" ht="17.399999999999999" x14ac:dyDescent="0.3">
      <c r="A184" s="7">
        <v>178</v>
      </c>
      <c r="B184" s="8" t="str">
        <f>HYPERLINK("https://webapp.icbf.com/v2/app/bull-search/view/1870223642","FR6616")</f>
        <v>FR6616</v>
      </c>
      <c r="C184" s="9" t="s">
        <v>209</v>
      </c>
      <c r="D184" s="10" t="s">
        <v>45</v>
      </c>
      <c r="E184" s="10" t="s">
        <v>21</v>
      </c>
      <c r="F184" s="33" t="s">
        <v>166</v>
      </c>
      <c r="G184" s="34">
        <v>0.32</v>
      </c>
      <c r="H184" s="35">
        <v>0.28999999999999998</v>
      </c>
      <c r="I184" s="21" t="s">
        <v>19</v>
      </c>
      <c r="J184" s="21" t="s">
        <v>19</v>
      </c>
      <c r="K184" s="21" t="s">
        <v>19</v>
      </c>
      <c r="L184" s="21" t="s">
        <v>19</v>
      </c>
      <c r="M184" s="21" t="s">
        <v>19</v>
      </c>
      <c r="N184" s="17">
        <v>308</v>
      </c>
      <c r="O184" s="18">
        <v>0.51</v>
      </c>
    </row>
    <row r="185" spans="1:15" ht="17.399999999999999" x14ac:dyDescent="0.3">
      <c r="A185" s="7">
        <v>179</v>
      </c>
      <c r="B185" s="8" t="str">
        <f>HYPERLINK("https://webapp.icbf.com/v2/app/bull-search/view/1607873489","FR5112")</f>
        <v>FR5112</v>
      </c>
      <c r="C185" s="9" t="s">
        <v>210</v>
      </c>
      <c r="D185" s="10" t="s">
        <v>45</v>
      </c>
      <c r="E185" s="10" t="s">
        <v>17</v>
      </c>
      <c r="F185" s="33" t="s">
        <v>166</v>
      </c>
      <c r="G185" s="34">
        <v>0.32</v>
      </c>
      <c r="H185" s="35">
        <v>0.38</v>
      </c>
      <c r="I185" s="21" t="s">
        <v>19</v>
      </c>
      <c r="J185" s="21" t="s">
        <v>19</v>
      </c>
      <c r="K185" s="21" t="s">
        <v>19</v>
      </c>
      <c r="L185" s="21" t="s">
        <v>19</v>
      </c>
      <c r="M185" s="21" t="s">
        <v>19</v>
      </c>
      <c r="N185" s="17">
        <v>287</v>
      </c>
      <c r="O185" s="18">
        <v>0.63</v>
      </c>
    </row>
    <row r="186" spans="1:15" ht="17.399999999999999" x14ac:dyDescent="0.3">
      <c r="A186" s="7">
        <v>180</v>
      </c>
      <c r="B186" s="8" t="str">
        <f>HYPERLINK("https://webapp.icbf.com/v2/app/bull-search/view/1605162514","FR6268")</f>
        <v>FR6268</v>
      </c>
      <c r="C186" s="9" t="s">
        <v>211</v>
      </c>
      <c r="D186" s="10" t="s">
        <v>45</v>
      </c>
      <c r="E186" s="10" t="s">
        <v>17</v>
      </c>
      <c r="F186" s="33" t="s">
        <v>212</v>
      </c>
      <c r="G186" s="34">
        <v>0.32</v>
      </c>
      <c r="H186" s="35">
        <v>0.38</v>
      </c>
      <c r="I186" s="21" t="s">
        <v>19</v>
      </c>
      <c r="J186" s="21" t="s">
        <v>19</v>
      </c>
      <c r="K186" s="21" t="s">
        <v>19</v>
      </c>
      <c r="L186" s="21" t="s">
        <v>19</v>
      </c>
      <c r="M186" s="21" t="s">
        <v>19</v>
      </c>
      <c r="N186" s="17">
        <v>289</v>
      </c>
      <c r="O186" s="18">
        <v>0.61</v>
      </c>
    </row>
    <row r="187" spans="1:15" ht="17.399999999999999" x14ac:dyDescent="0.3">
      <c r="A187" s="7">
        <v>181</v>
      </c>
      <c r="B187" s="8" t="str">
        <f>HYPERLINK("https://webapp.icbf.com/v2/app/bull-search/view/949885581","PKR   ")</f>
        <v xml:space="preserve">PKR   </v>
      </c>
      <c r="C187" s="9" t="s">
        <v>213</v>
      </c>
      <c r="D187" s="10" t="s">
        <v>45</v>
      </c>
      <c r="E187" s="10" t="s">
        <v>27</v>
      </c>
      <c r="F187" s="33" t="s">
        <v>212</v>
      </c>
      <c r="G187" s="34">
        <v>0.32</v>
      </c>
      <c r="H187" s="35">
        <v>0.69</v>
      </c>
      <c r="I187" s="21">
        <v>364</v>
      </c>
      <c r="J187" s="21">
        <v>513</v>
      </c>
      <c r="K187" s="21">
        <v>4824</v>
      </c>
      <c r="L187" s="23">
        <v>0.15</v>
      </c>
      <c r="M187" s="23">
        <v>0.11</v>
      </c>
      <c r="N187" s="17">
        <v>235</v>
      </c>
      <c r="O187" s="18">
        <v>0.97</v>
      </c>
    </row>
    <row r="188" spans="1:15" ht="17.399999999999999" x14ac:dyDescent="0.3">
      <c r="A188" s="7">
        <v>182</v>
      </c>
      <c r="B188" s="8" t="str">
        <f>HYPERLINK("https://webapp.icbf.com/v2/app/bull-search/view/949896269","TYH   ")</f>
        <v xml:space="preserve">TYH   </v>
      </c>
      <c r="C188" s="9" t="s">
        <v>214</v>
      </c>
      <c r="D188" s="10" t="s">
        <v>45</v>
      </c>
      <c r="E188" s="10" t="s">
        <v>27</v>
      </c>
      <c r="F188" s="33" t="s">
        <v>212</v>
      </c>
      <c r="G188" s="34">
        <v>0.32</v>
      </c>
      <c r="H188" s="35">
        <v>0.41</v>
      </c>
      <c r="I188" s="21">
        <v>26</v>
      </c>
      <c r="J188" s="21">
        <v>33</v>
      </c>
      <c r="K188" s="21">
        <v>296</v>
      </c>
      <c r="L188" s="23">
        <v>0.18</v>
      </c>
      <c r="M188" s="23">
        <v>0.22</v>
      </c>
      <c r="N188" s="17">
        <v>200</v>
      </c>
      <c r="O188" s="18">
        <v>0.9</v>
      </c>
    </row>
    <row r="189" spans="1:15" ht="17.399999999999999" x14ac:dyDescent="0.3">
      <c r="A189" s="7">
        <v>183</v>
      </c>
      <c r="B189" s="8" t="str">
        <f>HYPERLINK("https://webapp.icbf.com/v2/app/bull-search/view/1547629281","FR4415")</f>
        <v>FR4415</v>
      </c>
      <c r="C189" s="9" t="s">
        <v>215</v>
      </c>
      <c r="D189" s="10" t="s">
        <v>45</v>
      </c>
      <c r="E189" s="10" t="s">
        <v>145</v>
      </c>
      <c r="F189" s="33" t="s">
        <v>212</v>
      </c>
      <c r="G189" s="34">
        <v>0.32</v>
      </c>
      <c r="H189" s="35">
        <v>0.33</v>
      </c>
      <c r="I189" s="21" t="s">
        <v>19</v>
      </c>
      <c r="J189" s="21" t="s">
        <v>19</v>
      </c>
      <c r="K189" s="21" t="s">
        <v>19</v>
      </c>
      <c r="L189" s="21" t="s">
        <v>19</v>
      </c>
      <c r="M189" s="21" t="s">
        <v>19</v>
      </c>
      <c r="N189" s="17">
        <v>201</v>
      </c>
      <c r="O189" s="18">
        <v>0.7</v>
      </c>
    </row>
    <row r="190" spans="1:15" ht="17.399999999999999" x14ac:dyDescent="0.3">
      <c r="A190" s="7">
        <v>184</v>
      </c>
      <c r="B190" s="8" t="str">
        <f>HYPERLINK("https://webapp.icbf.com/v2/app/bull-search/view/1472997281","FR4439")</f>
        <v>FR4439</v>
      </c>
      <c r="C190" s="9" t="s">
        <v>216</v>
      </c>
      <c r="D190" s="10" t="s">
        <v>45</v>
      </c>
      <c r="E190" s="10" t="s">
        <v>21</v>
      </c>
      <c r="F190" s="33" t="s">
        <v>212</v>
      </c>
      <c r="G190" s="34">
        <v>0.32</v>
      </c>
      <c r="H190" s="35">
        <v>0.27</v>
      </c>
      <c r="I190" s="21">
        <v>3</v>
      </c>
      <c r="J190" s="21">
        <v>4</v>
      </c>
      <c r="K190" s="21">
        <v>37</v>
      </c>
      <c r="L190" s="22">
        <v>0</v>
      </c>
      <c r="M190" s="23">
        <v>0.11</v>
      </c>
      <c r="N190" s="17">
        <v>250</v>
      </c>
      <c r="O190" s="18">
        <v>0.67</v>
      </c>
    </row>
    <row r="191" spans="1:15" ht="17.399999999999999" x14ac:dyDescent="0.3">
      <c r="A191" s="7">
        <v>185</v>
      </c>
      <c r="B191" s="8" t="str">
        <f>HYPERLINK("https://webapp.icbf.com/v2/app/bull-search/view/1730082501","FR5701")</f>
        <v>FR5701</v>
      </c>
      <c r="C191" s="9" t="s">
        <v>217</v>
      </c>
      <c r="D191" s="10" t="s">
        <v>45</v>
      </c>
      <c r="E191" s="10" t="s">
        <v>21</v>
      </c>
      <c r="F191" s="33" t="s">
        <v>212</v>
      </c>
      <c r="G191" s="34">
        <v>0.32</v>
      </c>
      <c r="H191" s="35">
        <v>0.28999999999999998</v>
      </c>
      <c r="I191" s="21" t="s">
        <v>19</v>
      </c>
      <c r="J191" s="21" t="s">
        <v>19</v>
      </c>
      <c r="K191" s="21" t="s">
        <v>19</v>
      </c>
      <c r="L191" s="21" t="s">
        <v>19</v>
      </c>
      <c r="M191" s="21" t="s">
        <v>19</v>
      </c>
      <c r="N191" s="17">
        <v>202</v>
      </c>
      <c r="O191" s="18">
        <v>0.62</v>
      </c>
    </row>
    <row r="192" spans="1:15" ht="17.399999999999999" x14ac:dyDescent="0.3">
      <c r="A192" s="7">
        <v>186</v>
      </c>
      <c r="B192" s="8" t="str">
        <f>HYPERLINK("https://webapp.icbf.com/v2/app/bull-search/view/1861660826","FR6418")</f>
        <v>FR6418</v>
      </c>
      <c r="C192" s="9" t="s">
        <v>218</v>
      </c>
      <c r="D192" s="10" t="s">
        <v>45</v>
      </c>
      <c r="E192" s="10" t="s">
        <v>27</v>
      </c>
      <c r="F192" s="33" t="s">
        <v>212</v>
      </c>
      <c r="G192" s="34">
        <v>0.32</v>
      </c>
      <c r="H192" s="35">
        <v>0.27</v>
      </c>
      <c r="I192" s="21" t="s">
        <v>19</v>
      </c>
      <c r="J192" s="21" t="s">
        <v>19</v>
      </c>
      <c r="K192" s="21" t="s">
        <v>19</v>
      </c>
      <c r="L192" s="21" t="s">
        <v>19</v>
      </c>
      <c r="M192" s="21" t="s">
        <v>19</v>
      </c>
      <c r="N192" s="17">
        <v>288</v>
      </c>
      <c r="O192" s="18">
        <v>0.51</v>
      </c>
    </row>
    <row r="193" spans="1:15" ht="17.399999999999999" x14ac:dyDescent="0.3">
      <c r="A193" s="7">
        <v>187</v>
      </c>
      <c r="B193" s="8" t="str">
        <f>HYPERLINK("https://webapp.icbf.com/v2/app/bull-search/view/720503815","HOW   ")</f>
        <v xml:space="preserve">HOW   </v>
      </c>
      <c r="C193" s="9" t="s">
        <v>219</v>
      </c>
      <c r="D193" s="10" t="s">
        <v>45</v>
      </c>
      <c r="E193" s="10" t="s">
        <v>17</v>
      </c>
      <c r="F193" s="33" t="s">
        <v>212</v>
      </c>
      <c r="G193" s="34">
        <v>0.32</v>
      </c>
      <c r="H193" s="35">
        <v>0.4</v>
      </c>
      <c r="I193" s="21">
        <v>66</v>
      </c>
      <c r="J193" s="21">
        <v>107</v>
      </c>
      <c r="K193" s="21">
        <v>770</v>
      </c>
      <c r="L193" s="23">
        <v>0.24</v>
      </c>
      <c r="M193" s="23">
        <v>0.15</v>
      </c>
      <c r="N193" s="17">
        <v>212</v>
      </c>
      <c r="O193" s="18">
        <v>0.96</v>
      </c>
    </row>
    <row r="194" spans="1:15" ht="17.399999999999999" x14ac:dyDescent="0.3">
      <c r="A194" s="7">
        <v>188</v>
      </c>
      <c r="B194" s="8" t="str">
        <f>HYPERLINK("https://webapp.icbf.com/v2/app/bull-search/view/863511098","KZY   ")</f>
        <v xml:space="preserve">KZY   </v>
      </c>
      <c r="C194" s="9" t="s">
        <v>220</v>
      </c>
      <c r="D194" s="10" t="s">
        <v>45</v>
      </c>
      <c r="E194" s="10" t="s">
        <v>21</v>
      </c>
      <c r="F194" s="33" t="s">
        <v>212</v>
      </c>
      <c r="G194" s="34">
        <v>0.32</v>
      </c>
      <c r="H194" s="35">
        <v>0.31</v>
      </c>
      <c r="I194" s="21">
        <v>21</v>
      </c>
      <c r="J194" s="21">
        <v>23</v>
      </c>
      <c r="K194" s="21">
        <v>440</v>
      </c>
      <c r="L194" s="23">
        <v>0.17</v>
      </c>
      <c r="M194" s="22">
        <v>8.8999999999999996E-2</v>
      </c>
      <c r="N194" s="17">
        <v>216</v>
      </c>
      <c r="O194" s="18">
        <v>0.89</v>
      </c>
    </row>
    <row r="195" spans="1:15" ht="17.399999999999999" x14ac:dyDescent="0.3">
      <c r="A195" s="7">
        <v>189</v>
      </c>
      <c r="B195" s="8" t="str">
        <f>HYPERLINK("https://webapp.icbf.com/v2/app/bull-search/view/1367273669","FR4246")</f>
        <v>FR4246</v>
      </c>
      <c r="C195" s="9" t="s">
        <v>221</v>
      </c>
      <c r="D195" s="10" t="s">
        <v>45</v>
      </c>
      <c r="E195" s="10" t="s">
        <v>17</v>
      </c>
      <c r="F195" s="33" t="s">
        <v>212</v>
      </c>
      <c r="G195" s="34">
        <v>0.32</v>
      </c>
      <c r="H195" s="35">
        <v>0.34</v>
      </c>
      <c r="I195" s="21">
        <v>12</v>
      </c>
      <c r="J195" s="21">
        <v>15</v>
      </c>
      <c r="K195" s="21">
        <v>202</v>
      </c>
      <c r="L195" s="22">
        <v>0</v>
      </c>
      <c r="M195" s="22">
        <v>4.4999999999999998E-2</v>
      </c>
      <c r="N195" s="17">
        <v>211</v>
      </c>
      <c r="O195" s="18">
        <v>0.8</v>
      </c>
    </row>
    <row r="196" spans="1:15" ht="17.399999999999999" x14ac:dyDescent="0.3">
      <c r="A196" s="7">
        <v>190</v>
      </c>
      <c r="B196" s="8" t="str">
        <f>HYPERLINK("https://webapp.icbf.com/v2/app/bull-search/view/1860883121","FR6478")</f>
        <v>FR6478</v>
      </c>
      <c r="C196" s="9" t="s">
        <v>222</v>
      </c>
      <c r="D196" s="10" t="s">
        <v>45</v>
      </c>
      <c r="E196" s="10" t="s">
        <v>21</v>
      </c>
      <c r="F196" s="33" t="s">
        <v>212</v>
      </c>
      <c r="G196" s="34">
        <v>0.32</v>
      </c>
      <c r="H196" s="35">
        <v>0.27</v>
      </c>
      <c r="I196" s="21" t="s">
        <v>19</v>
      </c>
      <c r="J196" s="21" t="s">
        <v>19</v>
      </c>
      <c r="K196" s="21" t="s">
        <v>19</v>
      </c>
      <c r="L196" s="21" t="s">
        <v>19</v>
      </c>
      <c r="M196" s="21" t="s">
        <v>19</v>
      </c>
      <c r="N196" s="17">
        <v>296</v>
      </c>
      <c r="O196" s="18">
        <v>0.5</v>
      </c>
    </row>
    <row r="197" spans="1:15" ht="17.399999999999999" x14ac:dyDescent="0.3">
      <c r="A197" s="7">
        <v>191</v>
      </c>
      <c r="B197" s="8" t="str">
        <f>HYPERLINK("https://webapp.icbf.com/v2/app/bull-search/view/910797461","LKL   ")</f>
        <v xml:space="preserve">LKL   </v>
      </c>
      <c r="C197" s="9" t="s">
        <v>223</v>
      </c>
      <c r="D197" s="10" t="s">
        <v>45</v>
      </c>
      <c r="E197" s="10" t="s">
        <v>17</v>
      </c>
      <c r="F197" s="33" t="s">
        <v>212</v>
      </c>
      <c r="G197" s="34">
        <v>0.32</v>
      </c>
      <c r="H197" s="35">
        <v>0.32</v>
      </c>
      <c r="I197" s="21">
        <v>12</v>
      </c>
      <c r="J197" s="21">
        <v>17</v>
      </c>
      <c r="K197" s="21">
        <v>169</v>
      </c>
      <c r="L197" s="23">
        <v>0.18</v>
      </c>
      <c r="M197" s="23">
        <v>0.24</v>
      </c>
      <c r="N197" s="17">
        <v>217</v>
      </c>
      <c r="O197" s="18">
        <v>0.85</v>
      </c>
    </row>
    <row r="198" spans="1:15" ht="17.399999999999999" x14ac:dyDescent="0.3">
      <c r="A198" s="7">
        <v>192</v>
      </c>
      <c r="B198" s="8" t="str">
        <f>HYPERLINK("https://webapp.icbf.com/v2/app/bull-search/view/1253654431","FR2249")</f>
        <v>FR2249</v>
      </c>
      <c r="C198" s="9" t="s">
        <v>224</v>
      </c>
      <c r="D198" s="10" t="s">
        <v>45</v>
      </c>
      <c r="E198" s="10" t="s">
        <v>21</v>
      </c>
      <c r="F198" s="33" t="s">
        <v>212</v>
      </c>
      <c r="G198" s="34">
        <v>0.32</v>
      </c>
      <c r="H198" s="35">
        <v>0.61</v>
      </c>
      <c r="I198" s="21">
        <v>200</v>
      </c>
      <c r="J198" s="21">
        <v>386</v>
      </c>
      <c r="K198" s="21">
        <v>3710</v>
      </c>
      <c r="L198" s="23">
        <v>0.1</v>
      </c>
      <c r="M198" s="22">
        <v>6.6000000000000003E-2</v>
      </c>
      <c r="N198" s="17">
        <v>239</v>
      </c>
      <c r="O198" s="18">
        <v>0.94</v>
      </c>
    </row>
    <row r="199" spans="1:15" ht="17.399999999999999" x14ac:dyDescent="0.3">
      <c r="A199" s="7">
        <v>193</v>
      </c>
      <c r="B199" s="8" t="str">
        <f>HYPERLINK("https://webapp.icbf.com/v2/app/bull-search/view/1250064895","FR4020")</f>
        <v>FR4020</v>
      </c>
      <c r="C199" s="9" t="s">
        <v>225</v>
      </c>
      <c r="D199" s="10" t="s">
        <v>45</v>
      </c>
      <c r="E199" s="10" t="s">
        <v>27</v>
      </c>
      <c r="F199" s="33" t="s">
        <v>212</v>
      </c>
      <c r="G199" s="34">
        <v>0.32</v>
      </c>
      <c r="H199" s="35">
        <v>0.65</v>
      </c>
      <c r="I199" s="21">
        <v>205</v>
      </c>
      <c r="J199" s="21">
        <v>365</v>
      </c>
      <c r="K199" s="21">
        <v>3647</v>
      </c>
      <c r="L199" s="22">
        <v>9.9000000000000005E-2</v>
      </c>
      <c r="M199" s="22">
        <v>6.8000000000000005E-2</v>
      </c>
      <c r="N199" s="17">
        <v>205</v>
      </c>
      <c r="O199" s="18">
        <v>0.92</v>
      </c>
    </row>
    <row r="200" spans="1:15" ht="17.399999999999999" x14ac:dyDescent="0.3">
      <c r="A200" s="7">
        <v>194</v>
      </c>
      <c r="B200" s="8" t="str">
        <f>HYPERLINK("https://webapp.icbf.com/v2/app/bull-search/view/1728692537","FR5905")</f>
        <v>FR5905</v>
      </c>
      <c r="C200" s="9" t="s">
        <v>226</v>
      </c>
      <c r="D200" s="10" t="s">
        <v>45</v>
      </c>
      <c r="E200" s="10" t="s">
        <v>27</v>
      </c>
      <c r="F200" s="33" t="s">
        <v>212</v>
      </c>
      <c r="G200" s="34">
        <v>0.32</v>
      </c>
      <c r="H200" s="35">
        <v>0.32</v>
      </c>
      <c r="I200" s="21" t="s">
        <v>19</v>
      </c>
      <c r="J200" s="21" t="s">
        <v>19</v>
      </c>
      <c r="K200" s="21" t="s">
        <v>19</v>
      </c>
      <c r="L200" s="21" t="s">
        <v>19</v>
      </c>
      <c r="M200" s="21" t="s">
        <v>19</v>
      </c>
      <c r="N200" s="17">
        <v>220</v>
      </c>
      <c r="O200" s="18">
        <v>0.56000000000000005</v>
      </c>
    </row>
    <row r="201" spans="1:15" ht="17.399999999999999" x14ac:dyDescent="0.3">
      <c r="A201" s="7">
        <v>195</v>
      </c>
      <c r="B201" s="8" t="str">
        <f>HYPERLINK("https://webapp.icbf.com/v2/app/bull-search/view/1873271315","JE6898")</f>
        <v>JE6898</v>
      </c>
      <c r="C201" s="9" t="s">
        <v>227</v>
      </c>
      <c r="D201" s="10" t="s">
        <v>45</v>
      </c>
      <c r="E201" s="10" t="s">
        <v>17</v>
      </c>
      <c r="F201" s="33" t="s">
        <v>212</v>
      </c>
      <c r="G201" s="34">
        <v>0.32</v>
      </c>
      <c r="H201" s="35">
        <v>0.18</v>
      </c>
      <c r="I201" s="21" t="s">
        <v>19</v>
      </c>
      <c r="J201" s="21" t="s">
        <v>19</v>
      </c>
      <c r="K201" s="21" t="s">
        <v>19</v>
      </c>
      <c r="L201" s="21" t="s">
        <v>19</v>
      </c>
      <c r="M201" s="21" t="s">
        <v>19</v>
      </c>
      <c r="N201" s="17">
        <v>244</v>
      </c>
      <c r="O201" s="18">
        <v>0.49</v>
      </c>
    </row>
    <row r="202" spans="1:15" ht="17.399999999999999" x14ac:dyDescent="0.3">
      <c r="A202" s="7">
        <v>196</v>
      </c>
      <c r="B202" s="8" t="str">
        <f>HYPERLINK("https://webapp.icbf.com/v2/app/bull-search/view/1474853274","FR4481")</f>
        <v>FR4481</v>
      </c>
      <c r="C202" s="9" t="s">
        <v>228</v>
      </c>
      <c r="D202" s="10" t="s">
        <v>45</v>
      </c>
      <c r="E202" s="10" t="s">
        <v>27</v>
      </c>
      <c r="F202" s="33" t="s">
        <v>212</v>
      </c>
      <c r="G202" s="34">
        <v>0.32</v>
      </c>
      <c r="H202" s="35">
        <v>0.37</v>
      </c>
      <c r="I202" s="21">
        <v>5</v>
      </c>
      <c r="J202" s="21">
        <v>6</v>
      </c>
      <c r="K202" s="21">
        <v>200</v>
      </c>
      <c r="L202" s="22">
        <v>0</v>
      </c>
      <c r="M202" s="22">
        <v>0.01</v>
      </c>
      <c r="N202" s="17">
        <v>221</v>
      </c>
      <c r="O202" s="18">
        <v>0.67</v>
      </c>
    </row>
    <row r="203" spans="1:15" ht="17.399999999999999" x14ac:dyDescent="0.3">
      <c r="A203" s="7">
        <v>197</v>
      </c>
      <c r="B203" s="8" t="str">
        <f>HYPERLINK("https://webapp.icbf.com/v2/app/bull-search/view/1868729016","FR6430")</f>
        <v>FR6430</v>
      </c>
      <c r="C203" s="9" t="s">
        <v>229</v>
      </c>
      <c r="D203" s="10" t="s">
        <v>45</v>
      </c>
      <c r="E203" s="10" t="s">
        <v>27</v>
      </c>
      <c r="F203" s="33" t="s">
        <v>212</v>
      </c>
      <c r="G203" s="34">
        <v>0.32</v>
      </c>
      <c r="H203" s="35">
        <v>0.28000000000000003</v>
      </c>
      <c r="I203" s="21" t="s">
        <v>19</v>
      </c>
      <c r="J203" s="21" t="s">
        <v>19</v>
      </c>
      <c r="K203" s="21" t="s">
        <v>19</v>
      </c>
      <c r="L203" s="21" t="s">
        <v>19</v>
      </c>
      <c r="M203" s="21" t="s">
        <v>19</v>
      </c>
      <c r="N203" s="17">
        <v>308</v>
      </c>
      <c r="O203" s="18">
        <v>0.52</v>
      </c>
    </row>
    <row r="204" spans="1:15" ht="17.399999999999999" x14ac:dyDescent="0.3">
      <c r="A204" s="7">
        <v>198</v>
      </c>
      <c r="B204" s="8" t="str">
        <f>HYPERLINK("https://webapp.icbf.com/v2/app/bull-search/view/1478886943","FR4560")</f>
        <v>FR4560</v>
      </c>
      <c r="C204" s="9" t="s">
        <v>230</v>
      </c>
      <c r="D204" s="10" t="s">
        <v>45</v>
      </c>
      <c r="E204" s="10" t="s">
        <v>17</v>
      </c>
      <c r="F204" s="33" t="s">
        <v>212</v>
      </c>
      <c r="G204" s="34">
        <v>0.32</v>
      </c>
      <c r="H204" s="35">
        <v>0.3</v>
      </c>
      <c r="I204" s="21">
        <v>2</v>
      </c>
      <c r="J204" s="21">
        <v>2</v>
      </c>
      <c r="K204" s="21">
        <v>26</v>
      </c>
      <c r="L204" s="22">
        <v>0</v>
      </c>
      <c r="M204" s="23">
        <v>0.12</v>
      </c>
      <c r="N204" s="17">
        <v>229</v>
      </c>
      <c r="O204" s="18">
        <v>0.65</v>
      </c>
    </row>
    <row r="205" spans="1:15" ht="17.399999999999999" x14ac:dyDescent="0.3">
      <c r="A205" s="7">
        <v>199</v>
      </c>
      <c r="B205" s="8" t="str">
        <f>HYPERLINK("https://webapp.icbf.com/v2/app/bull-search/view/1599957205","FR4665")</f>
        <v>FR4665</v>
      </c>
      <c r="C205" s="9" t="s">
        <v>231</v>
      </c>
      <c r="D205" s="10" t="s">
        <v>45</v>
      </c>
      <c r="E205" s="10" t="s">
        <v>17</v>
      </c>
      <c r="F205" s="33" t="s">
        <v>212</v>
      </c>
      <c r="G205" s="34">
        <v>0.32</v>
      </c>
      <c r="H205" s="35">
        <v>0.28999999999999998</v>
      </c>
      <c r="I205" s="21" t="s">
        <v>19</v>
      </c>
      <c r="J205" s="21" t="s">
        <v>19</v>
      </c>
      <c r="K205" s="21" t="s">
        <v>19</v>
      </c>
      <c r="L205" s="21" t="s">
        <v>19</v>
      </c>
      <c r="M205" s="21" t="s">
        <v>19</v>
      </c>
      <c r="N205" s="17">
        <v>217</v>
      </c>
      <c r="O205" s="18">
        <v>0.65</v>
      </c>
    </row>
    <row r="206" spans="1:15" ht="17.399999999999999" x14ac:dyDescent="0.3">
      <c r="A206" s="7">
        <v>200</v>
      </c>
      <c r="B206" s="8" t="str">
        <f>HYPERLINK("https://webapp.icbf.com/v2/app/bull-search/view/1863917301","FR6622")</f>
        <v>FR6622</v>
      </c>
      <c r="C206" s="9" t="s">
        <v>232</v>
      </c>
      <c r="D206" s="10" t="s">
        <v>45</v>
      </c>
      <c r="E206" s="10" t="s">
        <v>21</v>
      </c>
      <c r="F206" s="33" t="s">
        <v>212</v>
      </c>
      <c r="G206" s="34">
        <v>0.32</v>
      </c>
      <c r="H206" s="35">
        <v>0.28999999999999998</v>
      </c>
      <c r="I206" s="21" t="s">
        <v>19</v>
      </c>
      <c r="J206" s="21" t="s">
        <v>19</v>
      </c>
      <c r="K206" s="21" t="s">
        <v>19</v>
      </c>
      <c r="L206" s="21" t="s">
        <v>19</v>
      </c>
      <c r="M206" s="21" t="s">
        <v>19</v>
      </c>
      <c r="N206" s="17">
        <v>326</v>
      </c>
      <c r="O206" s="18">
        <v>0.51</v>
      </c>
    </row>
    <row r="207" spans="1:15" ht="17.399999999999999" x14ac:dyDescent="0.3">
      <c r="A207" s="7">
        <v>201</v>
      </c>
      <c r="B207" s="8" t="str">
        <f>HYPERLINK("https://webapp.icbf.com/v2/app/bull-search/view/1337276027","FR2330")</f>
        <v>FR2330</v>
      </c>
      <c r="C207" s="9" t="s">
        <v>233</v>
      </c>
      <c r="D207" s="10" t="s">
        <v>45</v>
      </c>
      <c r="E207" s="10" t="s">
        <v>17</v>
      </c>
      <c r="F207" s="33" t="s">
        <v>212</v>
      </c>
      <c r="G207" s="34">
        <v>0.32</v>
      </c>
      <c r="H207" s="35">
        <v>0.36</v>
      </c>
      <c r="I207" s="21">
        <v>14</v>
      </c>
      <c r="J207" s="21">
        <v>21</v>
      </c>
      <c r="K207" s="21">
        <v>120</v>
      </c>
      <c r="L207" s="22">
        <v>9.5000000000000001E-2</v>
      </c>
      <c r="M207" s="23">
        <v>0.12</v>
      </c>
      <c r="N207" s="17">
        <v>207</v>
      </c>
      <c r="O207" s="18">
        <v>0.89</v>
      </c>
    </row>
    <row r="208" spans="1:15" ht="17.399999999999999" x14ac:dyDescent="0.3">
      <c r="A208" s="7">
        <v>202</v>
      </c>
      <c r="B208" s="8" t="str">
        <f>HYPERLINK("https://webapp.icbf.com/v2/app/bull-search/view/1858529016","FR7050")</f>
        <v>FR7050</v>
      </c>
      <c r="C208" s="9" t="s">
        <v>234</v>
      </c>
      <c r="D208" s="10" t="s">
        <v>45</v>
      </c>
      <c r="E208" s="10" t="s">
        <v>27</v>
      </c>
      <c r="F208" s="33" t="s">
        <v>212</v>
      </c>
      <c r="G208" s="34">
        <v>0.32</v>
      </c>
      <c r="H208" s="35">
        <v>0.28999999999999998</v>
      </c>
      <c r="I208" s="21" t="s">
        <v>19</v>
      </c>
      <c r="J208" s="21" t="s">
        <v>19</v>
      </c>
      <c r="K208" s="21" t="s">
        <v>19</v>
      </c>
      <c r="L208" s="21" t="s">
        <v>19</v>
      </c>
      <c r="M208" s="21" t="s">
        <v>19</v>
      </c>
      <c r="N208" s="17">
        <v>315</v>
      </c>
      <c r="O208" s="18">
        <v>0.52</v>
      </c>
    </row>
    <row r="209" spans="1:15" ht="17.399999999999999" x14ac:dyDescent="0.3">
      <c r="A209" s="7">
        <v>203</v>
      </c>
      <c r="B209" s="8" t="str">
        <f>HYPERLINK("https://webapp.icbf.com/v2/app/bull-search/view/1865925501","JE6820")</f>
        <v>JE6820</v>
      </c>
      <c r="C209" s="9" t="s">
        <v>235</v>
      </c>
      <c r="D209" s="10" t="s">
        <v>45</v>
      </c>
      <c r="E209" s="10" t="s">
        <v>17</v>
      </c>
      <c r="F209" s="33" t="s">
        <v>212</v>
      </c>
      <c r="G209" s="34">
        <v>0.32</v>
      </c>
      <c r="H209" s="35">
        <v>0.24</v>
      </c>
      <c r="I209" s="21" t="s">
        <v>19</v>
      </c>
      <c r="J209" s="21" t="s">
        <v>19</v>
      </c>
      <c r="K209" s="21" t="s">
        <v>19</v>
      </c>
      <c r="L209" s="21" t="s">
        <v>19</v>
      </c>
      <c r="M209" s="21" t="s">
        <v>19</v>
      </c>
      <c r="N209" s="17">
        <v>236</v>
      </c>
      <c r="O209" s="18">
        <v>0.51</v>
      </c>
    </row>
    <row r="210" spans="1:15" ht="17.399999999999999" x14ac:dyDescent="0.3">
      <c r="A210" s="7">
        <v>204</v>
      </c>
      <c r="B210" s="8" t="str">
        <f>HYPERLINK("https://webapp.icbf.com/v2/app/bull-search/view/868799691","UMG   ")</f>
        <v xml:space="preserve">UMG   </v>
      </c>
      <c r="C210" s="9" t="s">
        <v>236</v>
      </c>
      <c r="D210" s="10" t="s">
        <v>45</v>
      </c>
      <c r="E210" s="10" t="s">
        <v>27</v>
      </c>
      <c r="F210" s="33" t="s">
        <v>212</v>
      </c>
      <c r="G210" s="34">
        <v>0.32</v>
      </c>
      <c r="H210" s="35">
        <v>0.4</v>
      </c>
      <c r="I210" s="21">
        <v>13</v>
      </c>
      <c r="J210" s="21">
        <v>22</v>
      </c>
      <c r="K210" s="21">
        <v>129</v>
      </c>
      <c r="L210" s="23">
        <v>0.14000000000000001</v>
      </c>
      <c r="M210" s="23">
        <v>0.11</v>
      </c>
      <c r="N210" s="17">
        <v>258</v>
      </c>
      <c r="O210" s="18">
        <v>0.87</v>
      </c>
    </row>
    <row r="211" spans="1:15" ht="17.399999999999999" x14ac:dyDescent="0.3">
      <c r="A211" s="7">
        <v>205</v>
      </c>
      <c r="B211" s="8" t="str">
        <f>HYPERLINK("https://webapp.icbf.com/v2/app/bull-search/view/1251817130","FR2386")</f>
        <v>FR2386</v>
      </c>
      <c r="C211" s="9" t="s">
        <v>237</v>
      </c>
      <c r="D211" s="10" t="s">
        <v>45</v>
      </c>
      <c r="E211" s="10" t="s">
        <v>27</v>
      </c>
      <c r="F211" s="33" t="s">
        <v>212</v>
      </c>
      <c r="G211" s="34">
        <v>0.32</v>
      </c>
      <c r="H211" s="35">
        <v>0.27</v>
      </c>
      <c r="I211" s="21">
        <v>6</v>
      </c>
      <c r="J211" s="21">
        <v>8</v>
      </c>
      <c r="K211" s="21">
        <v>73</v>
      </c>
      <c r="L211" s="23">
        <v>0.13</v>
      </c>
      <c r="M211" s="23">
        <v>0.12</v>
      </c>
      <c r="N211" s="17">
        <v>217</v>
      </c>
      <c r="O211" s="18">
        <v>0.83</v>
      </c>
    </row>
    <row r="212" spans="1:15" ht="17.399999999999999" x14ac:dyDescent="0.3">
      <c r="A212" s="7">
        <v>206</v>
      </c>
      <c r="B212" s="8" t="str">
        <f>HYPERLINK("https://webapp.icbf.com/v2/app/bull-search/view/1600371146","FR4717")</f>
        <v>FR4717</v>
      </c>
      <c r="C212" s="9" t="s">
        <v>238</v>
      </c>
      <c r="D212" s="10" t="s">
        <v>45</v>
      </c>
      <c r="E212" s="10" t="s">
        <v>21</v>
      </c>
      <c r="F212" s="33" t="s">
        <v>212</v>
      </c>
      <c r="G212" s="34">
        <v>0.32</v>
      </c>
      <c r="H212" s="35">
        <v>0.38</v>
      </c>
      <c r="I212" s="21" t="s">
        <v>19</v>
      </c>
      <c r="J212" s="21" t="s">
        <v>19</v>
      </c>
      <c r="K212" s="21" t="s">
        <v>19</v>
      </c>
      <c r="L212" s="21" t="s">
        <v>19</v>
      </c>
      <c r="M212" s="21" t="s">
        <v>19</v>
      </c>
      <c r="N212" s="17">
        <v>250</v>
      </c>
      <c r="O212" s="18">
        <v>0.64</v>
      </c>
    </row>
    <row r="213" spans="1:15" ht="17.399999999999999" x14ac:dyDescent="0.3">
      <c r="A213" s="7">
        <v>207</v>
      </c>
      <c r="B213" s="8" t="str">
        <f>HYPERLINK("https://webapp.icbf.com/v2/app/bull-search/view/1605552201","FR5130")</f>
        <v>FR5130</v>
      </c>
      <c r="C213" s="9" t="s">
        <v>239</v>
      </c>
      <c r="D213" s="10" t="s">
        <v>45</v>
      </c>
      <c r="E213" s="10" t="s">
        <v>17</v>
      </c>
      <c r="F213" s="33" t="s">
        <v>212</v>
      </c>
      <c r="G213" s="34">
        <v>0.32</v>
      </c>
      <c r="H213" s="35">
        <v>0.38</v>
      </c>
      <c r="I213" s="21" t="s">
        <v>19</v>
      </c>
      <c r="J213" s="21" t="s">
        <v>19</v>
      </c>
      <c r="K213" s="21" t="s">
        <v>19</v>
      </c>
      <c r="L213" s="21" t="s">
        <v>19</v>
      </c>
      <c r="M213" s="21" t="s">
        <v>19</v>
      </c>
      <c r="N213" s="17">
        <v>257</v>
      </c>
      <c r="O213" s="18">
        <v>0.63</v>
      </c>
    </row>
    <row r="214" spans="1:15" ht="17.399999999999999" x14ac:dyDescent="0.3">
      <c r="A214" s="7">
        <v>208</v>
      </c>
      <c r="B214" s="8" t="str">
        <f>HYPERLINK("https://webapp.icbf.com/v2/app/bull-search/view/1860878183","FR7071")</f>
        <v>FR7071</v>
      </c>
      <c r="C214" s="9" t="s">
        <v>240</v>
      </c>
      <c r="D214" s="10" t="s">
        <v>45</v>
      </c>
      <c r="E214" s="10" t="s">
        <v>21</v>
      </c>
      <c r="F214" s="33" t="s">
        <v>212</v>
      </c>
      <c r="G214" s="34">
        <v>0.32</v>
      </c>
      <c r="H214" s="35">
        <v>0.3</v>
      </c>
      <c r="I214" s="21" t="s">
        <v>19</v>
      </c>
      <c r="J214" s="21" t="s">
        <v>19</v>
      </c>
      <c r="K214" s="21" t="s">
        <v>19</v>
      </c>
      <c r="L214" s="21" t="s">
        <v>19</v>
      </c>
      <c r="M214" s="21" t="s">
        <v>19</v>
      </c>
      <c r="N214" s="17">
        <v>295</v>
      </c>
      <c r="O214" s="18">
        <v>0.51</v>
      </c>
    </row>
    <row r="215" spans="1:15" ht="17.399999999999999" x14ac:dyDescent="0.3">
      <c r="A215" s="7">
        <v>209</v>
      </c>
      <c r="B215" s="8" t="str">
        <f>HYPERLINK("https://webapp.icbf.com/v2/app/bull-search/view/1292341345","FR2323")</f>
        <v>FR2323</v>
      </c>
      <c r="C215" s="9" t="s">
        <v>241</v>
      </c>
      <c r="D215" s="10" t="s">
        <v>45</v>
      </c>
      <c r="E215" s="10" t="s">
        <v>145</v>
      </c>
      <c r="F215" s="33" t="s">
        <v>212</v>
      </c>
      <c r="G215" s="34">
        <v>0.32</v>
      </c>
      <c r="H215" s="35">
        <v>0.37</v>
      </c>
      <c r="I215" s="21">
        <v>2</v>
      </c>
      <c r="J215" s="21">
        <v>3</v>
      </c>
      <c r="K215" s="21">
        <v>15</v>
      </c>
      <c r="L215" s="23">
        <v>0.33</v>
      </c>
      <c r="M215" s="23">
        <v>0.13</v>
      </c>
      <c r="N215" s="17">
        <v>212</v>
      </c>
      <c r="O215" s="18">
        <v>0.86</v>
      </c>
    </row>
    <row r="216" spans="1:15" ht="17.399999999999999" x14ac:dyDescent="0.3">
      <c r="A216" s="7">
        <v>210</v>
      </c>
      <c r="B216" s="8" t="str">
        <f>HYPERLINK("https://webapp.icbf.com/v2/app/bull-search/view/1473361583","FR4340")</f>
        <v>FR4340</v>
      </c>
      <c r="C216" s="9" t="s">
        <v>242</v>
      </c>
      <c r="D216" s="10" t="s">
        <v>45</v>
      </c>
      <c r="E216" s="10" t="s">
        <v>27</v>
      </c>
      <c r="F216" s="33" t="s">
        <v>212</v>
      </c>
      <c r="G216" s="34">
        <v>0.32</v>
      </c>
      <c r="H216" s="35">
        <v>0.4</v>
      </c>
      <c r="I216" s="21">
        <v>1</v>
      </c>
      <c r="J216" s="21">
        <v>1</v>
      </c>
      <c r="K216" s="21">
        <v>28</v>
      </c>
      <c r="L216" s="22">
        <v>0</v>
      </c>
      <c r="M216" s="21" t="s">
        <v>19</v>
      </c>
      <c r="N216" s="17">
        <v>222</v>
      </c>
      <c r="O216" s="18">
        <v>0.65</v>
      </c>
    </row>
    <row r="217" spans="1:15" ht="17.399999999999999" x14ac:dyDescent="0.3">
      <c r="A217" s="7">
        <v>211</v>
      </c>
      <c r="B217" s="8" t="str">
        <f>HYPERLINK("https://webapp.icbf.com/v2/app/bull-search/view/1606253434","FR4776")</f>
        <v>FR4776</v>
      </c>
      <c r="C217" s="9" t="s">
        <v>243</v>
      </c>
      <c r="D217" s="10" t="s">
        <v>45</v>
      </c>
      <c r="E217" s="10" t="s">
        <v>21</v>
      </c>
      <c r="F217" s="33" t="s">
        <v>212</v>
      </c>
      <c r="G217" s="34">
        <v>0.32</v>
      </c>
      <c r="H217" s="35">
        <v>0.39</v>
      </c>
      <c r="I217" s="21" t="s">
        <v>19</v>
      </c>
      <c r="J217" s="21" t="s">
        <v>19</v>
      </c>
      <c r="K217" s="21" t="s">
        <v>19</v>
      </c>
      <c r="L217" s="21" t="s">
        <v>19</v>
      </c>
      <c r="M217" s="21" t="s">
        <v>19</v>
      </c>
      <c r="N217" s="17">
        <v>228</v>
      </c>
      <c r="O217" s="18">
        <v>0.62</v>
      </c>
    </row>
    <row r="218" spans="1:15" ht="17.399999999999999" x14ac:dyDescent="0.3">
      <c r="A218" s="7">
        <v>212</v>
      </c>
      <c r="B218" s="8" t="str">
        <f>HYPERLINK("https://webapp.icbf.com/v2/app/bull-search/view/1728693162","FR6145")</f>
        <v>FR6145</v>
      </c>
      <c r="C218" s="9" t="s">
        <v>244</v>
      </c>
      <c r="D218" s="10" t="s">
        <v>45</v>
      </c>
      <c r="E218" s="10" t="s">
        <v>27</v>
      </c>
      <c r="F218" s="33" t="s">
        <v>212</v>
      </c>
      <c r="G218" s="34">
        <v>0.32</v>
      </c>
      <c r="H218" s="35">
        <v>0.28999999999999998</v>
      </c>
      <c r="I218" s="21" t="s">
        <v>19</v>
      </c>
      <c r="J218" s="21" t="s">
        <v>19</v>
      </c>
      <c r="K218" s="21" t="s">
        <v>19</v>
      </c>
      <c r="L218" s="21" t="s">
        <v>19</v>
      </c>
      <c r="M218" s="21" t="s">
        <v>19</v>
      </c>
      <c r="N218" s="17">
        <v>268</v>
      </c>
      <c r="O218" s="18">
        <v>0.55000000000000004</v>
      </c>
    </row>
    <row r="219" spans="1:15" ht="17.399999999999999" x14ac:dyDescent="0.3">
      <c r="A219" s="7">
        <v>213</v>
      </c>
      <c r="B219" s="8" t="str">
        <f>HYPERLINK("https://webapp.icbf.com/v2/app/bull-search/view/1869661625","FR6945")</f>
        <v>FR6945</v>
      </c>
      <c r="C219" s="9" t="s">
        <v>245</v>
      </c>
      <c r="D219" s="10" t="s">
        <v>45</v>
      </c>
      <c r="E219" s="10" t="s">
        <v>62</v>
      </c>
      <c r="F219" s="33" t="s">
        <v>212</v>
      </c>
      <c r="G219" s="34">
        <v>0.32</v>
      </c>
      <c r="H219" s="35">
        <v>0.28000000000000003</v>
      </c>
      <c r="I219" s="21" t="s">
        <v>19</v>
      </c>
      <c r="J219" s="21" t="s">
        <v>19</v>
      </c>
      <c r="K219" s="21" t="s">
        <v>19</v>
      </c>
      <c r="L219" s="21" t="s">
        <v>19</v>
      </c>
      <c r="M219" s="21" t="s">
        <v>19</v>
      </c>
      <c r="N219" s="17">
        <v>299</v>
      </c>
      <c r="O219" s="18">
        <v>0.52</v>
      </c>
    </row>
    <row r="220" spans="1:15" ht="17.399999999999999" x14ac:dyDescent="0.3">
      <c r="A220" s="7">
        <v>214</v>
      </c>
      <c r="B220" s="8" t="str">
        <f>HYPERLINK("https://webapp.icbf.com/v2/app/bull-search/view/1862075740","FR7026")</f>
        <v>FR7026</v>
      </c>
      <c r="C220" s="9" t="s">
        <v>246</v>
      </c>
      <c r="D220" s="10" t="s">
        <v>45</v>
      </c>
      <c r="E220" s="10" t="s">
        <v>27</v>
      </c>
      <c r="F220" s="33" t="s">
        <v>212</v>
      </c>
      <c r="G220" s="34">
        <v>0.32</v>
      </c>
      <c r="H220" s="35">
        <v>0.3</v>
      </c>
      <c r="I220" s="21" t="s">
        <v>19</v>
      </c>
      <c r="J220" s="21" t="s">
        <v>19</v>
      </c>
      <c r="K220" s="21" t="s">
        <v>19</v>
      </c>
      <c r="L220" s="21" t="s">
        <v>19</v>
      </c>
      <c r="M220" s="21" t="s">
        <v>19</v>
      </c>
      <c r="N220" s="17">
        <v>332</v>
      </c>
      <c r="O220" s="18">
        <v>0.5</v>
      </c>
    </row>
    <row r="221" spans="1:15" ht="17.399999999999999" x14ac:dyDescent="0.3">
      <c r="A221" s="7">
        <v>215</v>
      </c>
      <c r="B221" s="8" t="str">
        <f>HYPERLINK("https://webapp.icbf.com/v2/app/bull-search/view/1487446860","FR4426")</f>
        <v>FR4426</v>
      </c>
      <c r="C221" s="9" t="s">
        <v>247</v>
      </c>
      <c r="D221" s="10" t="s">
        <v>45</v>
      </c>
      <c r="E221" s="10" t="s">
        <v>21</v>
      </c>
      <c r="F221" s="33" t="s">
        <v>212</v>
      </c>
      <c r="G221" s="34">
        <v>0.32</v>
      </c>
      <c r="H221" s="35">
        <v>0.36</v>
      </c>
      <c r="I221" s="21">
        <v>2</v>
      </c>
      <c r="J221" s="21">
        <v>5</v>
      </c>
      <c r="K221" s="21">
        <v>11</v>
      </c>
      <c r="L221" s="23">
        <v>0.6</v>
      </c>
      <c r="M221" s="23">
        <v>0.36</v>
      </c>
      <c r="N221" s="17">
        <v>243</v>
      </c>
      <c r="O221" s="18">
        <v>0.66</v>
      </c>
    </row>
    <row r="222" spans="1:15" ht="17.399999999999999" x14ac:dyDescent="0.3">
      <c r="A222" s="7">
        <v>216</v>
      </c>
      <c r="B222" s="8" t="str">
        <f>HYPERLINK("https://webapp.icbf.com/v2/app/bull-search/view/1453552595","FR4600")</f>
        <v>FR4600</v>
      </c>
      <c r="C222" s="9" t="s">
        <v>248</v>
      </c>
      <c r="D222" s="10" t="s">
        <v>45</v>
      </c>
      <c r="E222" s="10" t="s">
        <v>27</v>
      </c>
      <c r="F222" s="33" t="s">
        <v>212</v>
      </c>
      <c r="G222" s="34">
        <v>0.32</v>
      </c>
      <c r="H222" s="35">
        <v>0.43</v>
      </c>
      <c r="I222" s="21" t="s">
        <v>19</v>
      </c>
      <c r="J222" s="21" t="s">
        <v>19</v>
      </c>
      <c r="K222" s="21" t="s">
        <v>19</v>
      </c>
      <c r="L222" s="21" t="s">
        <v>19</v>
      </c>
      <c r="M222" s="21" t="s">
        <v>19</v>
      </c>
      <c r="N222" s="17">
        <v>229</v>
      </c>
      <c r="O222" s="18">
        <v>0.66</v>
      </c>
    </row>
    <row r="223" spans="1:15" ht="17.399999999999999" x14ac:dyDescent="0.3">
      <c r="A223" s="7">
        <v>217</v>
      </c>
      <c r="B223" s="8" t="str">
        <f>HYPERLINK("https://webapp.icbf.com/v2/app/bull-search/view/1868285179","FR6469")</f>
        <v>FR6469</v>
      </c>
      <c r="C223" s="9" t="s">
        <v>249</v>
      </c>
      <c r="D223" s="10" t="s">
        <v>45</v>
      </c>
      <c r="E223" s="10" t="s">
        <v>21</v>
      </c>
      <c r="F223" s="33" t="s">
        <v>212</v>
      </c>
      <c r="G223" s="34">
        <v>0.32</v>
      </c>
      <c r="H223" s="35">
        <v>0.31</v>
      </c>
      <c r="I223" s="21" t="s">
        <v>19</v>
      </c>
      <c r="J223" s="21" t="s">
        <v>19</v>
      </c>
      <c r="K223" s="21" t="s">
        <v>19</v>
      </c>
      <c r="L223" s="21" t="s">
        <v>19</v>
      </c>
      <c r="M223" s="21" t="s">
        <v>19</v>
      </c>
      <c r="N223" s="17">
        <v>336</v>
      </c>
      <c r="O223" s="18">
        <v>0.53</v>
      </c>
    </row>
    <row r="224" spans="1:15" ht="17.399999999999999" x14ac:dyDescent="0.3">
      <c r="A224" s="7">
        <v>218</v>
      </c>
      <c r="B224" s="8" t="str">
        <f>HYPERLINK("https://webapp.icbf.com/v2/app/bull-search/view/1859855683","FR7146")</f>
        <v>FR7146</v>
      </c>
      <c r="C224" s="9" t="s">
        <v>250</v>
      </c>
      <c r="D224" s="10" t="s">
        <v>45</v>
      </c>
      <c r="E224" s="10" t="s">
        <v>27</v>
      </c>
      <c r="F224" s="33" t="s">
        <v>212</v>
      </c>
      <c r="G224" s="34">
        <v>0.32</v>
      </c>
      <c r="H224" s="35">
        <v>0.32</v>
      </c>
      <c r="I224" s="21" t="s">
        <v>19</v>
      </c>
      <c r="J224" s="21" t="s">
        <v>19</v>
      </c>
      <c r="K224" s="21" t="s">
        <v>19</v>
      </c>
      <c r="L224" s="21" t="s">
        <v>19</v>
      </c>
      <c r="M224" s="21" t="s">
        <v>19</v>
      </c>
      <c r="N224" s="17">
        <v>302</v>
      </c>
      <c r="O224" s="18">
        <v>0.52</v>
      </c>
    </row>
    <row r="225" spans="1:15" ht="17.399999999999999" x14ac:dyDescent="0.3">
      <c r="A225" s="7">
        <v>219</v>
      </c>
      <c r="B225" s="8" t="str">
        <f>HYPERLINK("https://webapp.icbf.com/v2/app/bull-search/view/1017312746","FR4391")</f>
        <v>FR4391</v>
      </c>
      <c r="C225" s="9" t="s">
        <v>251</v>
      </c>
      <c r="D225" s="10" t="s">
        <v>45</v>
      </c>
      <c r="E225" s="10" t="s">
        <v>17</v>
      </c>
      <c r="F225" s="33" t="s">
        <v>212</v>
      </c>
      <c r="G225" s="34">
        <v>0.32</v>
      </c>
      <c r="H225" s="35">
        <v>0.21</v>
      </c>
      <c r="I225" s="21" t="s">
        <v>19</v>
      </c>
      <c r="J225" s="21" t="s">
        <v>19</v>
      </c>
      <c r="K225" s="21" t="s">
        <v>19</v>
      </c>
      <c r="L225" s="21" t="s">
        <v>19</v>
      </c>
      <c r="M225" s="21" t="s">
        <v>19</v>
      </c>
      <c r="N225" s="17">
        <v>201</v>
      </c>
      <c r="O225" s="18">
        <v>0.7</v>
      </c>
    </row>
    <row r="226" spans="1:15" ht="17.399999999999999" x14ac:dyDescent="0.3">
      <c r="A226" s="7">
        <v>220</v>
      </c>
      <c r="B226" s="8" t="str">
        <f>HYPERLINK("https://webapp.icbf.com/v2/app/bull-search/view/1867283680","FR6472")</f>
        <v>FR6472</v>
      </c>
      <c r="C226" s="9" t="s">
        <v>252</v>
      </c>
      <c r="D226" s="10" t="s">
        <v>45</v>
      </c>
      <c r="E226" s="10" t="s">
        <v>21</v>
      </c>
      <c r="F226" s="33" t="s">
        <v>212</v>
      </c>
      <c r="G226" s="34">
        <v>0.32</v>
      </c>
      <c r="H226" s="35">
        <v>0.31</v>
      </c>
      <c r="I226" s="21" t="s">
        <v>19</v>
      </c>
      <c r="J226" s="21" t="s">
        <v>19</v>
      </c>
      <c r="K226" s="21" t="s">
        <v>19</v>
      </c>
      <c r="L226" s="21" t="s">
        <v>19</v>
      </c>
      <c r="M226" s="21" t="s">
        <v>19</v>
      </c>
      <c r="N226" s="17">
        <v>343</v>
      </c>
      <c r="O226" s="18">
        <v>0.52</v>
      </c>
    </row>
    <row r="227" spans="1:15" ht="17.399999999999999" x14ac:dyDescent="0.3">
      <c r="A227" s="7">
        <v>221</v>
      </c>
      <c r="B227" s="8" t="str">
        <f>HYPERLINK("https://webapp.icbf.com/v2/app/bull-search/view/1243230479","FR2232")</f>
        <v>FR2232</v>
      </c>
      <c r="C227" s="9" t="s">
        <v>253</v>
      </c>
      <c r="D227" s="10" t="s">
        <v>45</v>
      </c>
      <c r="E227" s="10" t="s">
        <v>21</v>
      </c>
      <c r="F227" s="33" t="s">
        <v>212</v>
      </c>
      <c r="G227" s="34">
        <v>0.32</v>
      </c>
      <c r="H227" s="35">
        <v>0.5</v>
      </c>
      <c r="I227" s="21">
        <v>58</v>
      </c>
      <c r="J227" s="21">
        <v>95</v>
      </c>
      <c r="K227" s="21">
        <v>1297</v>
      </c>
      <c r="L227" s="23">
        <v>0.12</v>
      </c>
      <c r="M227" s="22">
        <v>7.8E-2</v>
      </c>
      <c r="N227" s="17">
        <v>220</v>
      </c>
      <c r="O227" s="18">
        <v>0.92</v>
      </c>
    </row>
    <row r="228" spans="1:15" ht="17.399999999999999" x14ac:dyDescent="0.3">
      <c r="A228" s="7">
        <v>222</v>
      </c>
      <c r="B228" s="8" t="str">
        <f>HYPERLINK("https://webapp.icbf.com/v2/app/bull-search/view/1612570935","FR4797")</f>
        <v>FR4797</v>
      </c>
      <c r="C228" s="9" t="s">
        <v>254</v>
      </c>
      <c r="D228" s="10" t="s">
        <v>45</v>
      </c>
      <c r="E228" s="10" t="s">
        <v>21</v>
      </c>
      <c r="F228" s="33" t="s">
        <v>212</v>
      </c>
      <c r="G228" s="34">
        <v>0.32</v>
      </c>
      <c r="H228" s="35">
        <v>0.32</v>
      </c>
      <c r="I228" s="21" t="s">
        <v>19</v>
      </c>
      <c r="J228" s="21" t="s">
        <v>19</v>
      </c>
      <c r="K228" s="21" t="s">
        <v>19</v>
      </c>
      <c r="L228" s="21" t="s">
        <v>19</v>
      </c>
      <c r="M228" s="21" t="s">
        <v>19</v>
      </c>
      <c r="N228" s="17">
        <v>202</v>
      </c>
      <c r="O228" s="18">
        <v>0.63</v>
      </c>
    </row>
    <row r="229" spans="1:15" ht="17.399999999999999" x14ac:dyDescent="0.3">
      <c r="A229" s="7">
        <v>223</v>
      </c>
      <c r="B229" s="8" t="str">
        <f>HYPERLINK("https://webapp.icbf.com/v2/app/bull-search/view/1622164939","FR5249")</f>
        <v>FR5249</v>
      </c>
      <c r="C229" s="9" t="s">
        <v>255</v>
      </c>
      <c r="D229" s="10" t="s">
        <v>45</v>
      </c>
      <c r="E229" s="10" t="s">
        <v>27</v>
      </c>
      <c r="F229" s="33" t="s">
        <v>212</v>
      </c>
      <c r="G229" s="34">
        <v>0.32</v>
      </c>
      <c r="H229" s="35">
        <v>0.32</v>
      </c>
      <c r="I229" s="21" t="s">
        <v>19</v>
      </c>
      <c r="J229" s="21" t="s">
        <v>19</v>
      </c>
      <c r="K229" s="21" t="s">
        <v>19</v>
      </c>
      <c r="L229" s="21" t="s">
        <v>19</v>
      </c>
      <c r="M229" s="21" t="s">
        <v>19</v>
      </c>
      <c r="N229" s="17">
        <v>250</v>
      </c>
      <c r="O229" s="18">
        <v>0.6</v>
      </c>
    </row>
    <row r="230" spans="1:15" ht="17.399999999999999" x14ac:dyDescent="0.3">
      <c r="A230" s="7">
        <v>224</v>
      </c>
      <c r="B230" s="8" t="str">
        <f>HYPERLINK("https://webapp.icbf.com/v2/app/bull-search/view/1475322456","FR4559")</f>
        <v>FR4559</v>
      </c>
      <c r="C230" s="9" t="s">
        <v>256</v>
      </c>
      <c r="D230" s="10" t="s">
        <v>45</v>
      </c>
      <c r="E230" s="10" t="s">
        <v>17</v>
      </c>
      <c r="F230" s="33" t="s">
        <v>212</v>
      </c>
      <c r="G230" s="34">
        <v>0.32</v>
      </c>
      <c r="H230" s="35">
        <v>0.31</v>
      </c>
      <c r="I230" s="21" t="s">
        <v>19</v>
      </c>
      <c r="J230" s="21" t="s">
        <v>19</v>
      </c>
      <c r="K230" s="21" t="s">
        <v>19</v>
      </c>
      <c r="L230" s="21" t="s">
        <v>19</v>
      </c>
      <c r="M230" s="21" t="s">
        <v>19</v>
      </c>
      <c r="N230" s="17">
        <v>224</v>
      </c>
      <c r="O230" s="18">
        <v>0.65</v>
      </c>
    </row>
    <row r="231" spans="1:15" ht="17.399999999999999" x14ac:dyDescent="0.3">
      <c r="A231" s="7">
        <v>225</v>
      </c>
      <c r="B231" s="8" t="str">
        <f>HYPERLINK("https://webapp.icbf.com/v2/app/bull-search/view/1605159000","FR5115")</f>
        <v>FR5115</v>
      </c>
      <c r="C231" s="9" t="s">
        <v>257</v>
      </c>
      <c r="D231" s="10" t="s">
        <v>45</v>
      </c>
      <c r="E231" s="10" t="s">
        <v>17</v>
      </c>
      <c r="F231" s="33" t="s">
        <v>212</v>
      </c>
      <c r="G231" s="34">
        <v>0.32</v>
      </c>
      <c r="H231" s="35">
        <v>0.3</v>
      </c>
      <c r="I231" s="21" t="s">
        <v>19</v>
      </c>
      <c r="J231" s="21" t="s">
        <v>19</v>
      </c>
      <c r="K231" s="21" t="s">
        <v>19</v>
      </c>
      <c r="L231" s="21" t="s">
        <v>19</v>
      </c>
      <c r="M231" s="21" t="s">
        <v>19</v>
      </c>
      <c r="N231" s="17">
        <v>225</v>
      </c>
      <c r="O231" s="18">
        <v>0.62</v>
      </c>
    </row>
    <row r="232" spans="1:15" ht="17.399999999999999" x14ac:dyDescent="0.3">
      <c r="A232" s="7">
        <v>226</v>
      </c>
      <c r="B232" s="8" t="str">
        <f>HYPERLINK("https://webapp.icbf.com/v2/app/bull-search/view/1312504733","FR6460")</f>
        <v>FR6460</v>
      </c>
      <c r="C232" s="9" t="s">
        <v>258</v>
      </c>
      <c r="D232" s="10" t="s">
        <v>45</v>
      </c>
      <c r="E232" s="10" t="s">
        <v>21</v>
      </c>
      <c r="F232" s="33" t="s">
        <v>212</v>
      </c>
      <c r="G232" s="34">
        <v>0.32</v>
      </c>
      <c r="H232" s="35">
        <v>0.34</v>
      </c>
      <c r="I232" s="21" t="s">
        <v>19</v>
      </c>
      <c r="J232" s="21" t="s">
        <v>19</v>
      </c>
      <c r="K232" s="21" t="s">
        <v>19</v>
      </c>
      <c r="L232" s="21" t="s">
        <v>19</v>
      </c>
      <c r="M232" s="21" t="s">
        <v>19</v>
      </c>
      <c r="N232" s="17">
        <v>221</v>
      </c>
      <c r="O232" s="18">
        <v>0.72</v>
      </c>
    </row>
    <row r="233" spans="1:15" ht="17.399999999999999" x14ac:dyDescent="0.3">
      <c r="A233" s="7">
        <v>227</v>
      </c>
      <c r="B233" s="8" t="str">
        <f>HYPERLINK("https://webapp.icbf.com/v2/app/bull-search/view/1859863297","FR6643")</f>
        <v>FR6643</v>
      </c>
      <c r="C233" s="9" t="s">
        <v>259</v>
      </c>
      <c r="D233" s="10" t="s">
        <v>45</v>
      </c>
      <c r="E233" s="10" t="s">
        <v>27</v>
      </c>
      <c r="F233" s="33" t="s">
        <v>212</v>
      </c>
      <c r="G233" s="34">
        <v>0.32</v>
      </c>
      <c r="H233" s="35">
        <v>0.28000000000000003</v>
      </c>
      <c r="I233" s="21" t="s">
        <v>19</v>
      </c>
      <c r="J233" s="21" t="s">
        <v>19</v>
      </c>
      <c r="K233" s="21" t="s">
        <v>19</v>
      </c>
      <c r="L233" s="21" t="s">
        <v>19</v>
      </c>
      <c r="M233" s="21" t="s">
        <v>19</v>
      </c>
      <c r="N233" s="17">
        <v>302</v>
      </c>
      <c r="O233" s="18">
        <v>0.52</v>
      </c>
    </row>
    <row r="234" spans="1:15" ht="17.399999999999999" x14ac:dyDescent="0.3">
      <c r="A234" s="7">
        <v>228</v>
      </c>
      <c r="B234" s="8" t="str">
        <f>HYPERLINK("https://webapp.icbf.com/v2/app/bull-search/view/1656382724","FR4689")</f>
        <v>FR4689</v>
      </c>
      <c r="C234" s="9" t="s">
        <v>260</v>
      </c>
      <c r="D234" s="10" t="s">
        <v>45</v>
      </c>
      <c r="E234" s="10" t="s">
        <v>27</v>
      </c>
      <c r="F234" s="33" t="s">
        <v>212</v>
      </c>
      <c r="G234" s="34">
        <v>0.32</v>
      </c>
      <c r="H234" s="35">
        <v>0.28000000000000003</v>
      </c>
      <c r="I234" s="21" t="s">
        <v>19</v>
      </c>
      <c r="J234" s="21" t="s">
        <v>19</v>
      </c>
      <c r="K234" s="21" t="s">
        <v>19</v>
      </c>
      <c r="L234" s="21" t="s">
        <v>19</v>
      </c>
      <c r="M234" s="21" t="s">
        <v>19</v>
      </c>
      <c r="N234" s="17">
        <v>214</v>
      </c>
      <c r="O234" s="18">
        <v>0.56999999999999995</v>
      </c>
    </row>
    <row r="235" spans="1:15" ht="17.399999999999999" x14ac:dyDescent="0.3">
      <c r="A235" s="7">
        <v>229</v>
      </c>
      <c r="B235" s="8" t="str">
        <f>HYPERLINK("https://webapp.icbf.com/v2/app/bull-search/view/1603097094","FR5243")</f>
        <v>FR5243</v>
      </c>
      <c r="C235" s="9" t="s">
        <v>261</v>
      </c>
      <c r="D235" s="10" t="s">
        <v>45</v>
      </c>
      <c r="E235" s="10" t="s">
        <v>17</v>
      </c>
      <c r="F235" s="33" t="s">
        <v>212</v>
      </c>
      <c r="G235" s="34">
        <v>0.32</v>
      </c>
      <c r="H235" s="35">
        <v>0.34</v>
      </c>
      <c r="I235" s="21" t="s">
        <v>19</v>
      </c>
      <c r="J235" s="21" t="s">
        <v>19</v>
      </c>
      <c r="K235" s="21" t="s">
        <v>19</v>
      </c>
      <c r="L235" s="21" t="s">
        <v>19</v>
      </c>
      <c r="M235" s="21" t="s">
        <v>19</v>
      </c>
      <c r="N235" s="17">
        <v>204</v>
      </c>
      <c r="O235" s="18">
        <v>0.6</v>
      </c>
    </row>
    <row r="236" spans="1:15" ht="17.399999999999999" x14ac:dyDescent="0.3">
      <c r="A236" s="7">
        <v>230</v>
      </c>
      <c r="B236" s="8" t="str">
        <f>HYPERLINK("https://webapp.icbf.com/v2/app/bull-search/view/1729464863","FR5512")</f>
        <v>FR5512</v>
      </c>
      <c r="C236" s="9" t="s">
        <v>262</v>
      </c>
      <c r="D236" s="10" t="s">
        <v>45</v>
      </c>
      <c r="E236" s="10" t="s">
        <v>27</v>
      </c>
      <c r="F236" s="33" t="s">
        <v>212</v>
      </c>
      <c r="G236" s="34">
        <v>0.32</v>
      </c>
      <c r="H236" s="35">
        <v>0.34</v>
      </c>
      <c r="I236" s="21" t="s">
        <v>19</v>
      </c>
      <c r="J236" s="21" t="s">
        <v>19</v>
      </c>
      <c r="K236" s="21" t="s">
        <v>19</v>
      </c>
      <c r="L236" s="21" t="s">
        <v>19</v>
      </c>
      <c r="M236" s="21" t="s">
        <v>19</v>
      </c>
      <c r="N236" s="17">
        <v>226</v>
      </c>
      <c r="O236" s="18">
        <v>0.61</v>
      </c>
    </row>
    <row r="237" spans="1:15" ht="17.399999999999999" x14ac:dyDescent="0.3">
      <c r="A237" s="7">
        <v>231</v>
      </c>
      <c r="B237" s="8" t="str">
        <f>HYPERLINK("https://webapp.icbf.com/v2/app/bull-search/view/1872062491","FR7047")</f>
        <v>FR7047</v>
      </c>
      <c r="C237" s="9" t="s">
        <v>263</v>
      </c>
      <c r="D237" s="10" t="s">
        <v>45</v>
      </c>
      <c r="E237" s="10" t="s">
        <v>27</v>
      </c>
      <c r="F237" s="33" t="s">
        <v>212</v>
      </c>
      <c r="G237" s="34">
        <v>0.32</v>
      </c>
      <c r="H237" s="35">
        <v>0.28000000000000003</v>
      </c>
      <c r="I237" s="21" t="s">
        <v>19</v>
      </c>
      <c r="J237" s="21" t="s">
        <v>19</v>
      </c>
      <c r="K237" s="21" t="s">
        <v>19</v>
      </c>
      <c r="L237" s="21" t="s">
        <v>19</v>
      </c>
      <c r="M237" s="21" t="s">
        <v>19</v>
      </c>
      <c r="N237" s="17">
        <v>347</v>
      </c>
      <c r="O237" s="18">
        <v>0.51</v>
      </c>
    </row>
    <row r="238" spans="1:15" ht="17.399999999999999" x14ac:dyDescent="0.3">
      <c r="A238" s="7">
        <v>232</v>
      </c>
      <c r="B238" s="8" t="str">
        <f>HYPERLINK("https://webapp.icbf.com/v2/app/bull-search/view/1607471782","FR5142")</f>
        <v>FR5142</v>
      </c>
      <c r="C238" s="9" t="s">
        <v>264</v>
      </c>
      <c r="D238" s="10" t="s">
        <v>45</v>
      </c>
      <c r="E238" s="10" t="s">
        <v>17</v>
      </c>
      <c r="F238" s="33" t="s">
        <v>212</v>
      </c>
      <c r="G238" s="34">
        <v>0.32</v>
      </c>
      <c r="H238" s="35">
        <v>0.39</v>
      </c>
      <c r="I238" s="21" t="s">
        <v>19</v>
      </c>
      <c r="J238" s="21" t="s">
        <v>19</v>
      </c>
      <c r="K238" s="21" t="s">
        <v>19</v>
      </c>
      <c r="L238" s="21" t="s">
        <v>19</v>
      </c>
      <c r="M238" s="21" t="s">
        <v>19</v>
      </c>
      <c r="N238" s="17">
        <v>210</v>
      </c>
      <c r="O238" s="18">
        <v>0.61</v>
      </c>
    </row>
    <row r="239" spans="1:15" ht="17.399999999999999" x14ac:dyDescent="0.3">
      <c r="A239" s="7">
        <v>233</v>
      </c>
      <c r="B239" s="8" t="str">
        <f>HYPERLINK("https://webapp.icbf.com/v2/app/bull-search/view/1855335488","FR6499")</f>
        <v>FR6499</v>
      </c>
      <c r="C239" s="9" t="s">
        <v>265</v>
      </c>
      <c r="D239" s="10" t="s">
        <v>45</v>
      </c>
      <c r="E239" s="10" t="s">
        <v>21</v>
      </c>
      <c r="F239" s="33" t="s">
        <v>212</v>
      </c>
      <c r="G239" s="34">
        <v>0.32</v>
      </c>
      <c r="H239" s="35">
        <v>0.31</v>
      </c>
      <c r="I239" s="21" t="s">
        <v>19</v>
      </c>
      <c r="J239" s="21" t="s">
        <v>19</v>
      </c>
      <c r="K239" s="21" t="s">
        <v>19</v>
      </c>
      <c r="L239" s="21" t="s">
        <v>19</v>
      </c>
      <c r="M239" s="21" t="s">
        <v>19</v>
      </c>
      <c r="N239" s="17">
        <v>349</v>
      </c>
      <c r="O239" s="18">
        <v>0.5</v>
      </c>
    </row>
    <row r="240" spans="1:15" ht="17.399999999999999" x14ac:dyDescent="0.3">
      <c r="A240" s="7">
        <v>234</v>
      </c>
      <c r="B240" s="8" t="str">
        <f>HYPERLINK("https://webapp.icbf.com/v2/app/bull-search/view/1866232868","FR7167")</f>
        <v>FR7167</v>
      </c>
      <c r="C240" s="9" t="s">
        <v>266</v>
      </c>
      <c r="D240" s="10" t="s">
        <v>45</v>
      </c>
      <c r="E240" s="10" t="s">
        <v>27</v>
      </c>
      <c r="F240" s="33" t="s">
        <v>212</v>
      </c>
      <c r="G240" s="34">
        <v>0.32</v>
      </c>
      <c r="H240" s="35">
        <v>0.25</v>
      </c>
      <c r="I240" s="21" t="s">
        <v>19</v>
      </c>
      <c r="J240" s="21" t="s">
        <v>19</v>
      </c>
      <c r="K240" s="21" t="s">
        <v>19</v>
      </c>
      <c r="L240" s="21" t="s">
        <v>19</v>
      </c>
      <c r="M240" s="21" t="s">
        <v>19</v>
      </c>
      <c r="N240" s="17">
        <v>334</v>
      </c>
      <c r="O240" s="18">
        <v>0.52</v>
      </c>
    </row>
    <row r="241" spans="1:15" ht="17.399999999999999" x14ac:dyDescent="0.3">
      <c r="A241" s="7">
        <v>235</v>
      </c>
      <c r="B241" s="8" t="str">
        <f>HYPERLINK("https://webapp.icbf.com/v2/app/bull-search/view/1728487746","FR5695")</f>
        <v>FR5695</v>
      </c>
      <c r="C241" s="9" t="s">
        <v>267</v>
      </c>
      <c r="D241" s="10" t="s">
        <v>45</v>
      </c>
      <c r="E241" s="10" t="s">
        <v>27</v>
      </c>
      <c r="F241" s="33" t="s">
        <v>212</v>
      </c>
      <c r="G241" s="34">
        <v>0.32</v>
      </c>
      <c r="H241" s="35">
        <v>0.31</v>
      </c>
      <c r="I241" s="21" t="s">
        <v>19</v>
      </c>
      <c r="J241" s="21" t="s">
        <v>19</v>
      </c>
      <c r="K241" s="21" t="s">
        <v>19</v>
      </c>
      <c r="L241" s="21" t="s">
        <v>19</v>
      </c>
      <c r="M241" s="21" t="s">
        <v>19</v>
      </c>
      <c r="N241" s="17">
        <v>275</v>
      </c>
      <c r="O241" s="18">
        <v>0.57999999999999996</v>
      </c>
    </row>
    <row r="242" spans="1:15" ht="17.399999999999999" x14ac:dyDescent="0.3">
      <c r="A242" s="7">
        <v>236</v>
      </c>
      <c r="B242" s="8" t="str">
        <f>HYPERLINK("https://webapp.icbf.com/v2/app/bull-search/view/1865927388","FR6640")</f>
        <v>FR6640</v>
      </c>
      <c r="C242" s="9" t="s">
        <v>268</v>
      </c>
      <c r="D242" s="10" t="s">
        <v>45</v>
      </c>
      <c r="E242" s="10" t="s">
        <v>27</v>
      </c>
      <c r="F242" s="33" t="s">
        <v>212</v>
      </c>
      <c r="G242" s="34">
        <v>0.32</v>
      </c>
      <c r="H242" s="35">
        <v>0.31</v>
      </c>
      <c r="I242" s="21" t="s">
        <v>19</v>
      </c>
      <c r="J242" s="21" t="s">
        <v>19</v>
      </c>
      <c r="K242" s="21" t="s">
        <v>19</v>
      </c>
      <c r="L242" s="21" t="s">
        <v>19</v>
      </c>
      <c r="M242" s="21" t="s">
        <v>19</v>
      </c>
      <c r="N242" s="17">
        <v>299</v>
      </c>
      <c r="O242" s="18">
        <v>0.5</v>
      </c>
    </row>
    <row r="243" spans="1:15" ht="17.399999999999999" x14ac:dyDescent="0.3">
      <c r="A243" s="7">
        <v>237</v>
      </c>
      <c r="B243" s="8" t="str">
        <f>HYPERLINK("https://webapp.icbf.com/v2/app/bull-search/view/1376473046","NR4173")</f>
        <v>NR4173</v>
      </c>
      <c r="C243" s="9" t="s">
        <v>269</v>
      </c>
      <c r="D243" s="10" t="s">
        <v>99</v>
      </c>
      <c r="E243" s="10" t="s">
        <v>21</v>
      </c>
      <c r="F243" s="33" t="s">
        <v>212</v>
      </c>
      <c r="G243" s="34">
        <v>0.32</v>
      </c>
      <c r="H243" s="35">
        <v>0.19</v>
      </c>
      <c r="I243" s="21">
        <v>6</v>
      </c>
      <c r="J243" s="21">
        <v>8</v>
      </c>
      <c r="K243" s="21">
        <v>117</v>
      </c>
      <c r="L243" s="23">
        <v>0.13</v>
      </c>
      <c r="M243" s="22">
        <v>7.6999999999999999E-2</v>
      </c>
      <c r="N243" s="17">
        <v>230</v>
      </c>
      <c r="O243" s="18">
        <v>0.79</v>
      </c>
    </row>
    <row r="244" spans="1:15" ht="17.399999999999999" x14ac:dyDescent="0.3">
      <c r="A244" s="7">
        <v>238</v>
      </c>
      <c r="B244" s="8" t="str">
        <f>HYPERLINK("https://webapp.icbf.com/v2/app/bull-search/view/1608586414","FR5172")</f>
        <v>FR5172</v>
      </c>
      <c r="C244" s="9" t="s">
        <v>270</v>
      </c>
      <c r="D244" s="10" t="s">
        <v>45</v>
      </c>
      <c r="E244" s="10" t="s">
        <v>62</v>
      </c>
      <c r="F244" s="33" t="s">
        <v>212</v>
      </c>
      <c r="G244" s="34">
        <v>0.32</v>
      </c>
      <c r="H244" s="35">
        <v>0.28999999999999998</v>
      </c>
      <c r="I244" s="21" t="s">
        <v>19</v>
      </c>
      <c r="J244" s="21" t="s">
        <v>19</v>
      </c>
      <c r="K244" s="21" t="s">
        <v>19</v>
      </c>
      <c r="L244" s="21" t="s">
        <v>19</v>
      </c>
      <c r="M244" s="21" t="s">
        <v>19</v>
      </c>
      <c r="N244" s="17">
        <v>215</v>
      </c>
      <c r="O244" s="18">
        <v>0.62</v>
      </c>
    </row>
    <row r="245" spans="1:15" ht="17.399999999999999" x14ac:dyDescent="0.3">
      <c r="A245" s="7">
        <v>239</v>
      </c>
      <c r="B245" s="8" t="str">
        <f>HYPERLINK("https://webapp.icbf.com/v2/app/bull-search/view/1728494378","FR5704")</f>
        <v>FR5704</v>
      </c>
      <c r="C245" s="9" t="s">
        <v>271</v>
      </c>
      <c r="D245" s="10" t="s">
        <v>45</v>
      </c>
      <c r="E245" s="10" t="s">
        <v>21</v>
      </c>
      <c r="F245" s="33" t="s">
        <v>212</v>
      </c>
      <c r="G245" s="34">
        <v>0.32</v>
      </c>
      <c r="H245" s="35">
        <v>0.39</v>
      </c>
      <c r="I245" s="21" t="s">
        <v>19</v>
      </c>
      <c r="J245" s="21" t="s">
        <v>19</v>
      </c>
      <c r="K245" s="21" t="s">
        <v>19</v>
      </c>
      <c r="L245" s="21" t="s">
        <v>19</v>
      </c>
      <c r="M245" s="21" t="s">
        <v>19</v>
      </c>
      <c r="N245" s="17">
        <v>296</v>
      </c>
      <c r="O245" s="18">
        <v>0.64</v>
      </c>
    </row>
    <row r="246" spans="1:15" ht="17.399999999999999" x14ac:dyDescent="0.3">
      <c r="A246" s="7">
        <v>240</v>
      </c>
      <c r="B246" s="8" t="str">
        <f>HYPERLINK("https://webapp.icbf.com/v2/app/bull-search/view/1053132246","FZC   ")</f>
        <v xml:space="preserve">FZC   </v>
      </c>
      <c r="C246" s="9" t="s">
        <v>272</v>
      </c>
      <c r="D246" s="10" t="s">
        <v>45</v>
      </c>
      <c r="E246" s="10" t="s">
        <v>21</v>
      </c>
      <c r="F246" s="33" t="s">
        <v>212</v>
      </c>
      <c r="G246" s="34">
        <v>0.32</v>
      </c>
      <c r="H246" s="35">
        <v>0.53</v>
      </c>
      <c r="I246" s="21">
        <v>69</v>
      </c>
      <c r="J246" s="21">
        <v>95</v>
      </c>
      <c r="K246" s="21">
        <v>1108</v>
      </c>
      <c r="L246" s="23">
        <v>0.17</v>
      </c>
      <c r="M246" s="23">
        <v>0.2</v>
      </c>
      <c r="N246" s="17">
        <v>204</v>
      </c>
      <c r="O246" s="18">
        <v>0.94</v>
      </c>
    </row>
    <row r="247" spans="1:15" ht="17.399999999999999" x14ac:dyDescent="0.3">
      <c r="A247" s="7">
        <v>241</v>
      </c>
      <c r="B247" s="8" t="str">
        <f>HYPERLINK("https://webapp.icbf.com/v2/app/bull-search/view/1864385545","FR3722")</f>
        <v>FR3722</v>
      </c>
      <c r="C247" s="9" t="s">
        <v>273</v>
      </c>
      <c r="D247" s="10" t="s">
        <v>45</v>
      </c>
      <c r="E247" s="10" t="s">
        <v>21</v>
      </c>
      <c r="F247" s="33" t="s">
        <v>212</v>
      </c>
      <c r="G247" s="34">
        <v>0.32</v>
      </c>
      <c r="H247" s="35">
        <v>0.23</v>
      </c>
      <c r="I247" s="21" t="s">
        <v>19</v>
      </c>
      <c r="J247" s="21" t="s">
        <v>19</v>
      </c>
      <c r="K247" s="21" t="s">
        <v>19</v>
      </c>
      <c r="L247" s="21" t="s">
        <v>19</v>
      </c>
      <c r="M247" s="21" t="s">
        <v>19</v>
      </c>
      <c r="N247" s="17">
        <v>297</v>
      </c>
      <c r="O247" s="18">
        <v>0.51</v>
      </c>
    </row>
    <row r="248" spans="1:15" ht="17.399999999999999" x14ac:dyDescent="0.3">
      <c r="A248" s="7">
        <v>242</v>
      </c>
      <c r="B248" s="8" t="str">
        <f>HYPERLINK("https://webapp.icbf.com/v2/app/bull-search/view/1532799416","FR4368")</f>
        <v>FR4368</v>
      </c>
      <c r="C248" s="9" t="s">
        <v>274</v>
      </c>
      <c r="D248" s="10" t="s">
        <v>45</v>
      </c>
      <c r="E248" s="10" t="s">
        <v>27</v>
      </c>
      <c r="F248" s="33" t="s">
        <v>212</v>
      </c>
      <c r="G248" s="34">
        <v>0.32</v>
      </c>
      <c r="H248" s="35">
        <v>0.33</v>
      </c>
      <c r="I248" s="21">
        <v>1</v>
      </c>
      <c r="J248" s="21">
        <v>1</v>
      </c>
      <c r="K248" s="21">
        <v>107</v>
      </c>
      <c r="L248" s="22">
        <v>0</v>
      </c>
      <c r="M248" s="21" t="s">
        <v>19</v>
      </c>
      <c r="N248" s="17">
        <v>230</v>
      </c>
      <c r="O248" s="18">
        <v>0.7</v>
      </c>
    </row>
    <row r="249" spans="1:15" ht="17.399999999999999" x14ac:dyDescent="0.3">
      <c r="A249" s="7">
        <v>243</v>
      </c>
      <c r="B249" s="8" t="str">
        <f>HYPERLINK("https://webapp.icbf.com/v2/app/bull-search/view/1605169915","FR4726")</f>
        <v>FR4726</v>
      </c>
      <c r="C249" s="9" t="s">
        <v>275</v>
      </c>
      <c r="D249" s="10" t="s">
        <v>45</v>
      </c>
      <c r="E249" s="10" t="s">
        <v>21</v>
      </c>
      <c r="F249" s="33" t="s">
        <v>212</v>
      </c>
      <c r="G249" s="34">
        <v>0.32</v>
      </c>
      <c r="H249" s="35">
        <v>0.39</v>
      </c>
      <c r="I249" s="21" t="s">
        <v>19</v>
      </c>
      <c r="J249" s="21" t="s">
        <v>19</v>
      </c>
      <c r="K249" s="21" t="s">
        <v>19</v>
      </c>
      <c r="L249" s="21" t="s">
        <v>19</v>
      </c>
      <c r="M249" s="21" t="s">
        <v>19</v>
      </c>
      <c r="N249" s="17">
        <v>265</v>
      </c>
      <c r="O249" s="18">
        <v>0.66</v>
      </c>
    </row>
    <row r="250" spans="1:15" ht="17.399999999999999" x14ac:dyDescent="0.3">
      <c r="A250" s="7">
        <v>244</v>
      </c>
      <c r="B250" s="8" t="str">
        <f>HYPERLINK("https://webapp.icbf.com/v2/app/bull-search/view/1702212882","FR5551")</f>
        <v>FR5551</v>
      </c>
      <c r="C250" s="9" t="s">
        <v>276</v>
      </c>
      <c r="D250" s="10" t="s">
        <v>45</v>
      </c>
      <c r="E250" s="10" t="s">
        <v>145</v>
      </c>
      <c r="F250" s="33" t="s">
        <v>212</v>
      </c>
      <c r="G250" s="34">
        <v>0.32</v>
      </c>
      <c r="H250" s="35">
        <v>0.31</v>
      </c>
      <c r="I250" s="21" t="s">
        <v>19</v>
      </c>
      <c r="J250" s="21" t="s">
        <v>19</v>
      </c>
      <c r="K250" s="21" t="s">
        <v>19</v>
      </c>
      <c r="L250" s="21" t="s">
        <v>19</v>
      </c>
      <c r="M250" s="21" t="s">
        <v>19</v>
      </c>
      <c r="N250" s="17">
        <v>202</v>
      </c>
      <c r="O250" s="18">
        <v>0.55000000000000004</v>
      </c>
    </row>
    <row r="251" spans="1:15" ht="17.399999999999999" x14ac:dyDescent="0.3">
      <c r="A251" s="7">
        <v>245</v>
      </c>
      <c r="B251" s="8" t="str">
        <f>HYPERLINK("https://webapp.icbf.com/v2/app/bull-search/view/1743798294","FR6163")</f>
        <v>FR6163</v>
      </c>
      <c r="C251" s="9" t="s">
        <v>277</v>
      </c>
      <c r="D251" s="10" t="s">
        <v>45</v>
      </c>
      <c r="E251" s="10" t="s">
        <v>27</v>
      </c>
      <c r="F251" s="33" t="s">
        <v>212</v>
      </c>
      <c r="G251" s="34">
        <v>0.32</v>
      </c>
      <c r="H251" s="35">
        <v>0.38</v>
      </c>
      <c r="I251" s="21" t="s">
        <v>19</v>
      </c>
      <c r="J251" s="21" t="s">
        <v>19</v>
      </c>
      <c r="K251" s="21" t="s">
        <v>19</v>
      </c>
      <c r="L251" s="21" t="s">
        <v>19</v>
      </c>
      <c r="M251" s="21" t="s">
        <v>19</v>
      </c>
      <c r="N251" s="17">
        <v>279</v>
      </c>
      <c r="O251" s="18">
        <v>0.62</v>
      </c>
    </row>
    <row r="252" spans="1:15" ht="17.399999999999999" x14ac:dyDescent="0.3">
      <c r="A252" s="7">
        <v>246</v>
      </c>
      <c r="B252" s="8" t="str">
        <f>HYPERLINK("https://webapp.icbf.com/v2/app/bull-search/view/1668662455","FR6463")</f>
        <v>FR6463</v>
      </c>
      <c r="C252" s="9" t="s">
        <v>278</v>
      </c>
      <c r="D252" s="10" t="s">
        <v>45</v>
      </c>
      <c r="E252" s="10" t="s">
        <v>21</v>
      </c>
      <c r="F252" s="33" t="s">
        <v>212</v>
      </c>
      <c r="G252" s="34">
        <v>0.32</v>
      </c>
      <c r="H252" s="35">
        <v>0.31</v>
      </c>
      <c r="I252" s="21" t="s">
        <v>19</v>
      </c>
      <c r="J252" s="21" t="s">
        <v>19</v>
      </c>
      <c r="K252" s="21" t="s">
        <v>19</v>
      </c>
      <c r="L252" s="21" t="s">
        <v>19</v>
      </c>
      <c r="M252" s="21" t="s">
        <v>19</v>
      </c>
      <c r="N252" s="17">
        <v>227</v>
      </c>
      <c r="O252" s="18">
        <v>0.55000000000000004</v>
      </c>
    </row>
    <row r="253" spans="1:15" ht="17.399999999999999" x14ac:dyDescent="0.3">
      <c r="A253" s="7">
        <v>247</v>
      </c>
      <c r="B253" s="8" t="str">
        <f>HYPERLINK("https://webapp.icbf.com/v2/app/bull-search/view/1734990629","FR6076")</f>
        <v>FR6076</v>
      </c>
      <c r="C253" s="9" t="s">
        <v>279</v>
      </c>
      <c r="D253" s="10" t="s">
        <v>45</v>
      </c>
      <c r="E253" s="10" t="s">
        <v>17</v>
      </c>
      <c r="F253" s="33" t="s">
        <v>212</v>
      </c>
      <c r="G253" s="34">
        <v>0.32</v>
      </c>
      <c r="H253" s="35">
        <v>0.34</v>
      </c>
      <c r="I253" s="21" t="s">
        <v>19</v>
      </c>
      <c r="J253" s="21" t="s">
        <v>19</v>
      </c>
      <c r="K253" s="21" t="s">
        <v>19</v>
      </c>
      <c r="L253" s="21" t="s">
        <v>19</v>
      </c>
      <c r="M253" s="21" t="s">
        <v>19</v>
      </c>
      <c r="N253" s="17">
        <v>282</v>
      </c>
      <c r="O253" s="18">
        <v>0.62</v>
      </c>
    </row>
    <row r="254" spans="1:15" ht="17.399999999999999" x14ac:dyDescent="0.3">
      <c r="A254" s="7">
        <v>248</v>
      </c>
      <c r="B254" s="8" t="str">
        <f>HYPERLINK("https://webapp.icbf.com/v2/app/bull-search/view/1865910940","FR7149")</f>
        <v>FR7149</v>
      </c>
      <c r="C254" s="9" t="s">
        <v>280</v>
      </c>
      <c r="D254" s="10" t="s">
        <v>45</v>
      </c>
      <c r="E254" s="10" t="s">
        <v>27</v>
      </c>
      <c r="F254" s="33" t="s">
        <v>212</v>
      </c>
      <c r="G254" s="34">
        <v>0.32</v>
      </c>
      <c r="H254" s="35">
        <v>0.24</v>
      </c>
      <c r="I254" s="21" t="s">
        <v>19</v>
      </c>
      <c r="J254" s="21" t="s">
        <v>19</v>
      </c>
      <c r="K254" s="21" t="s">
        <v>19</v>
      </c>
      <c r="L254" s="21" t="s">
        <v>19</v>
      </c>
      <c r="M254" s="21" t="s">
        <v>19</v>
      </c>
      <c r="N254" s="17">
        <v>308</v>
      </c>
      <c r="O254" s="18">
        <v>0.51</v>
      </c>
    </row>
    <row r="255" spans="1:15" ht="17.399999999999999" x14ac:dyDescent="0.3">
      <c r="A255" s="7">
        <v>249</v>
      </c>
      <c r="B255" s="8" t="str">
        <f>HYPERLINK("https://webapp.icbf.com/v2/app/bull-search/view/933356827","GGP   ")</f>
        <v xml:space="preserve">GGP   </v>
      </c>
      <c r="C255" s="9" t="s">
        <v>281</v>
      </c>
      <c r="D255" s="10" t="s">
        <v>45</v>
      </c>
      <c r="E255" s="10" t="s">
        <v>17</v>
      </c>
      <c r="F255" s="33" t="s">
        <v>212</v>
      </c>
      <c r="G255" s="34">
        <v>0.32</v>
      </c>
      <c r="H255" s="35">
        <v>0.37</v>
      </c>
      <c r="I255" s="21">
        <v>49</v>
      </c>
      <c r="J255" s="21">
        <v>103</v>
      </c>
      <c r="K255" s="21">
        <v>847</v>
      </c>
      <c r="L255" s="23">
        <v>0.15</v>
      </c>
      <c r="M255" s="23">
        <v>0.1</v>
      </c>
      <c r="N255" s="17">
        <v>238</v>
      </c>
      <c r="O255" s="18">
        <v>0.94</v>
      </c>
    </row>
    <row r="256" spans="1:15" ht="17.399999999999999" x14ac:dyDescent="0.3">
      <c r="A256" s="7">
        <v>250</v>
      </c>
      <c r="B256" s="8" t="str">
        <f>HYPERLINK("https://webapp.icbf.com/v2/app/bull-search/view/753532305","WSL   ")</f>
        <v xml:space="preserve">WSL   </v>
      </c>
      <c r="C256" s="9" t="s">
        <v>282</v>
      </c>
      <c r="D256" s="10" t="s">
        <v>23</v>
      </c>
      <c r="E256" s="10" t="s">
        <v>27</v>
      </c>
      <c r="F256" s="33" t="s">
        <v>212</v>
      </c>
      <c r="G256" s="34">
        <v>0.32</v>
      </c>
      <c r="H256" s="35">
        <v>0.38</v>
      </c>
      <c r="I256" s="21">
        <v>14</v>
      </c>
      <c r="J256" s="21">
        <v>15</v>
      </c>
      <c r="K256" s="21">
        <v>131</v>
      </c>
      <c r="L256" s="23">
        <v>0.2</v>
      </c>
      <c r="M256" s="23">
        <v>0.18</v>
      </c>
      <c r="N256" s="17">
        <v>203</v>
      </c>
      <c r="O256" s="18">
        <v>0.86</v>
      </c>
    </row>
    <row r="257" spans="1:15" ht="17.399999999999999" x14ac:dyDescent="0.3">
      <c r="A257" s="7">
        <v>251</v>
      </c>
      <c r="B257" s="8" t="str">
        <f>HYPERLINK("https://webapp.icbf.com/v2/app/bull-search/view/864325629","OCP   ")</f>
        <v xml:space="preserve">OCP   </v>
      </c>
      <c r="C257" s="9" t="s">
        <v>283</v>
      </c>
      <c r="D257" s="10" t="s">
        <v>45</v>
      </c>
      <c r="E257" s="10" t="s">
        <v>27</v>
      </c>
      <c r="F257" s="33" t="s">
        <v>212</v>
      </c>
      <c r="G257" s="34">
        <v>0.32</v>
      </c>
      <c r="H257" s="35">
        <v>0.7</v>
      </c>
      <c r="I257" s="21">
        <v>412</v>
      </c>
      <c r="J257" s="21">
        <v>572</v>
      </c>
      <c r="K257" s="21">
        <v>5271</v>
      </c>
      <c r="L257" s="23">
        <v>0.14000000000000001</v>
      </c>
      <c r="M257" s="23">
        <v>0.1</v>
      </c>
      <c r="N257" s="17">
        <v>221</v>
      </c>
      <c r="O257" s="18">
        <v>0.97</v>
      </c>
    </row>
    <row r="258" spans="1:15" ht="17.399999999999999" x14ac:dyDescent="0.3">
      <c r="A258" s="7">
        <v>252</v>
      </c>
      <c r="B258" s="8" t="str">
        <f>HYPERLINK("https://webapp.icbf.com/v2/app/bull-search/view/1872049366","FR6892")</f>
        <v>FR6892</v>
      </c>
      <c r="C258" s="9" t="s">
        <v>284</v>
      </c>
      <c r="D258" s="10" t="s">
        <v>45</v>
      </c>
      <c r="E258" s="10" t="s">
        <v>17</v>
      </c>
      <c r="F258" s="33" t="s">
        <v>212</v>
      </c>
      <c r="G258" s="34">
        <v>0.32</v>
      </c>
      <c r="H258" s="35">
        <v>0.19</v>
      </c>
      <c r="I258" s="21" t="s">
        <v>19</v>
      </c>
      <c r="J258" s="21" t="s">
        <v>19</v>
      </c>
      <c r="K258" s="21" t="s">
        <v>19</v>
      </c>
      <c r="L258" s="21" t="s">
        <v>19</v>
      </c>
      <c r="M258" s="21" t="s">
        <v>19</v>
      </c>
      <c r="N258" s="17">
        <v>272</v>
      </c>
      <c r="O258" s="18">
        <v>0.52</v>
      </c>
    </row>
    <row r="259" spans="1:15" ht="17.399999999999999" x14ac:dyDescent="0.3">
      <c r="A259" s="7">
        <v>253</v>
      </c>
      <c r="B259" s="8" t="str">
        <f>HYPERLINK("https://webapp.icbf.com/v2/app/bull-search/view/1619518264","FR4696")</f>
        <v>FR4696</v>
      </c>
      <c r="C259" s="9" t="s">
        <v>285</v>
      </c>
      <c r="D259" s="10" t="s">
        <v>45</v>
      </c>
      <c r="E259" s="10" t="s">
        <v>145</v>
      </c>
      <c r="F259" s="33" t="s">
        <v>212</v>
      </c>
      <c r="G259" s="34">
        <v>0.32</v>
      </c>
      <c r="H259" s="35">
        <v>0.34</v>
      </c>
      <c r="I259" s="21" t="s">
        <v>19</v>
      </c>
      <c r="J259" s="21" t="s">
        <v>19</v>
      </c>
      <c r="K259" s="21" t="s">
        <v>19</v>
      </c>
      <c r="L259" s="21" t="s">
        <v>19</v>
      </c>
      <c r="M259" s="21" t="s">
        <v>19</v>
      </c>
      <c r="N259" s="17">
        <v>207</v>
      </c>
      <c r="O259" s="18">
        <v>0.66</v>
      </c>
    </row>
    <row r="260" spans="1:15" ht="17.399999999999999" x14ac:dyDescent="0.3">
      <c r="A260" s="7">
        <v>254</v>
      </c>
      <c r="B260" s="8" t="str">
        <f>HYPERLINK("https://webapp.icbf.com/v2/app/bull-search/view/1861173707","FR6948")</f>
        <v>FR6948</v>
      </c>
      <c r="C260" s="9" t="s">
        <v>286</v>
      </c>
      <c r="D260" s="10" t="s">
        <v>45</v>
      </c>
      <c r="E260" s="10" t="s">
        <v>62</v>
      </c>
      <c r="F260" s="33" t="s">
        <v>212</v>
      </c>
      <c r="G260" s="34">
        <v>0.32</v>
      </c>
      <c r="H260" s="35">
        <v>0.28000000000000003</v>
      </c>
      <c r="I260" s="21" t="s">
        <v>19</v>
      </c>
      <c r="J260" s="21" t="s">
        <v>19</v>
      </c>
      <c r="K260" s="21" t="s">
        <v>19</v>
      </c>
      <c r="L260" s="21" t="s">
        <v>19</v>
      </c>
      <c r="M260" s="21" t="s">
        <v>19</v>
      </c>
      <c r="N260" s="17">
        <v>300</v>
      </c>
      <c r="O260" s="18">
        <v>0.51</v>
      </c>
    </row>
    <row r="261" spans="1:15" ht="17.399999999999999" x14ac:dyDescent="0.3">
      <c r="A261" s="7">
        <v>255</v>
      </c>
      <c r="B261" s="8" t="str">
        <f>HYPERLINK("https://webapp.icbf.com/v2/app/bull-search/view/1141981360","FR2085")</f>
        <v>FR2085</v>
      </c>
      <c r="C261" s="9" t="s">
        <v>287</v>
      </c>
      <c r="D261" s="10" t="s">
        <v>45</v>
      </c>
      <c r="E261" s="10" t="s">
        <v>62</v>
      </c>
      <c r="F261" s="33" t="s">
        <v>212</v>
      </c>
      <c r="G261" s="34">
        <v>0.32</v>
      </c>
      <c r="H261" s="35">
        <v>0.42</v>
      </c>
      <c r="I261" s="21">
        <v>11</v>
      </c>
      <c r="J261" s="21">
        <v>21</v>
      </c>
      <c r="K261" s="21">
        <v>192</v>
      </c>
      <c r="L261" s="23">
        <v>0.19</v>
      </c>
      <c r="M261" s="22">
        <v>4.2000000000000003E-2</v>
      </c>
      <c r="N261" s="17">
        <v>211</v>
      </c>
      <c r="O261" s="18">
        <v>0.9</v>
      </c>
    </row>
    <row r="262" spans="1:15" ht="17.399999999999999" x14ac:dyDescent="0.3">
      <c r="A262" s="7">
        <v>256</v>
      </c>
      <c r="B262" s="8" t="str">
        <f>HYPERLINK("https://webapp.icbf.com/v2/app/bull-search/view/1608576035","FR4773")</f>
        <v>FR4773</v>
      </c>
      <c r="C262" s="9" t="s">
        <v>288</v>
      </c>
      <c r="D262" s="10" t="s">
        <v>45</v>
      </c>
      <c r="E262" s="10" t="s">
        <v>21</v>
      </c>
      <c r="F262" s="33" t="s">
        <v>212</v>
      </c>
      <c r="G262" s="34">
        <v>0.32</v>
      </c>
      <c r="H262" s="35">
        <v>0.36</v>
      </c>
      <c r="I262" s="21" t="s">
        <v>19</v>
      </c>
      <c r="J262" s="21" t="s">
        <v>19</v>
      </c>
      <c r="K262" s="21" t="s">
        <v>19</v>
      </c>
      <c r="L262" s="21" t="s">
        <v>19</v>
      </c>
      <c r="M262" s="21" t="s">
        <v>19</v>
      </c>
      <c r="N262" s="17">
        <v>209</v>
      </c>
      <c r="O262" s="18">
        <v>0.63</v>
      </c>
    </row>
    <row r="263" spans="1:15" ht="17.399999999999999" x14ac:dyDescent="0.3">
      <c r="A263" s="7">
        <v>257</v>
      </c>
      <c r="B263" s="8" t="str">
        <f>HYPERLINK("https://webapp.icbf.com/v2/app/bull-search/view/1607028048","FR4815")</f>
        <v>FR4815</v>
      </c>
      <c r="C263" s="9" t="s">
        <v>289</v>
      </c>
      <c r="D263" s="10" t="s">
        <v>45</v>
      </c>
      <c r="E263" s="10" t="s">
        <v>27</v>
      </c>
      <c r="F263" s="33" t="s">
        <v>212</v>
      </c>
      <c r="G263" s="34">
        <v>0.32</v>
      </c>
      <c r="H263" s="35">
        <v>0.34</v>
      </c>
      <c r="I263" s="21" t="s">
        <v>19</v>
      </c>
      <c r="J263" s="21" t="s">
        <v>19</v>
      </c>
      <c r="K263" s="21" t="s">
        <v>19</v>
      </c>
      <c r="L263" s="21" t="s">
        <v>19</v>
      </c>
      <c r="M263" s="21" t="s">
        <v>19</v>
      </c>
      <c r="N263" s="17">
        <v>244</v>
      </c>
      <c r="O263" s="18">
        <v>0.62</v>
      </c>
    </row>
    <row r="264" spans="1:15" ht="17.399999999999999" x14ac:dyDescent="0.3">
      <c r="A264" s="7">
        <v>258</v>
      </c>
      <c r="B264" s="8" t="str">
        <f>HYPERLINK("https://webapp.icbf.com/v2/app/bull-search/view/1727390892","FR6016")</f>
        <v>FR6016</v>
      </c>
      <c r="C264" s="9" t="s">
        <v>290</v>
      </c>
      <c r="D264" s="10" t="s">
        <v>45</v>
      </c>
      <c r="E264" s="10" t="s">
        <v>27</v>
      </c>
      <c r="F264" s="33" t="s">
        <v>212</v>
      </c>
      <c r="G264" s="34">
        <v>0.32</v>
      </c>
      <c r="H264" s="35">
        <v>0.33</v>
      </c>
      <c r="I264" s="21" t="s">
        <v>19</v>
      </c>
      <c r="J264" s="21" t="s">
        <v>19</v>
      </c>
      <c r="K264" s="21" t="s">
        <v>19</v>
      </c>
      <c r="L264" s="21" t="s">
        <v>19</v>
      </c>
      <c r="M264" s="21" t="s">
        <v>19</v>
      </c>
      <c r="N264" s="17">
        <v>241</v>
      </c>
      <c r="O264" s="18">
        <v>0.56000000000000005</v>
      </c>
    </row>
    <row r="265" spans="1:15" ht="17.399999999999999" x14ac:dyDescent="0.3">
      <c r="A265" s="7">
        <v>259</v>
      </c>
      <c r="B265" s="8" t="str">
        <f>HYPERLINK("https://webapp.icbf.com/v2/app/bull-search/view/1729536604","FR6028")</f>
        <v>FR6028</v>
      </c>
      <c r="C265" s="9" t="s">
        <v>291</v>
      </c>
      <c r="D265" s="10" t="s">
        <v>45</v>
      </c>
      <c r="E265" s="10" t="s">
        <v>62</v>
      </c>
      <c r="F265" s="33" t="s">
        <v>212</v>
      </c>
      <c r="G265" s="34">
        <v>0.32</v>
      </c>
      <c r="H265" s="35">
        <v>0.28999999999999998</v>
      </c>
      <c r="I265" s="21" t="s">
        <v>19</v>
      </c>
      <c r="J265" s="21" t="s">
        <v>19</v>
      </c>
      <c r="K265" s="21" t="s">
        <v>19</v>
      </c>
      <c r="L265" s="21" t="s">
        <v>19</v>
      </c>
      <c r="M265" s="21" t="s">
        <v>19</v>
      </c>
      <c r="N265" s="17">
        <v>307</v>
      </c>
      <c r="O265" s="18">
        <v>0.63</v>
      </c>
    </row>
    <row r="266" spans="1:15" ht="17.399999999999999" x14ac:dyDescent="0.3">
      <c r="A266" s="7">
        <v>260</v>
      </c>
      <c r="B266" s="8" t="str">
        <f>HYPERLINK("https://webapp.icbf.com/v2/app/bull-search/view/1865543942","FR6679")</f>
        <v>FR6679</v>
      </c>
      <c r="C266" s="9" t="s">
        <v>292</v>
      </c>
      <c r="D266" s="10" t="s">
        <v>45</v>
      </c>
      <c r="E266" s="10" t="s">
        <v>27</v>
      </c>
      <c r="F266" s="33" t="s">
        <v>212</v>
      </c>
      <c r="G266" s="34">
        <v>0.32</v>
      </c>
      <c r="H266" s="35">
        <v>0.33</v>
      </c>
      <c r="I266" s="21" t="s">
        <v>19</v>
      </c>
      <c r="J266" s="21" t="s">
        <v>19</v>
      </c>
      <c r="K266" s="21" t="s">
        <v>19</v>
      </c>
      <c r="L266" s="21" t="s">
        <v>19</v>
      </c>
      <c r="M266" s="21" t="s">
        <v>19</v>
      </c>
      <c r="N266" s="17">
        <v>280</v>
      </c>
      <c r="O266" s="18">
        <v>0.53</v>
      </c>
    </row>
    <row r="267" spans="1:15" ht="17.399999999999999" x14ac:dyDescent="0.3">
      <c r="A267" s="7">
        <v>261</v>
      </c>
      <c r="B267" s="8" t="str">
        <f>HYPERLINK("https://webapp.icbf.com/v2/app/bull-search/view/1851609218","FR7008")</f>
        <v>FR7008</v>
      </c>
      <c r="C267" s="9" t="s">
        <v>293</v>
      </c>
      <c r="D267" s="10" t="s">
        <v>45</v>
      </c>
      <c r="E267" s="10" t="s">
        <v>27</v>
      </c>
      <c r="F267" s="33" t="s">
        <v>212</v>
      </c>
      <c r="G267" s="34">
        <v>0.32</v>
      </c>
      <c r="H267" s="35">
        <v>0.3</v>
      </c>
      <c r="I267" s="21" t="s">
        <v>19</v>
      </c>
      <c r="J267" s="21" t="s">
        <v>19</v>
      </c>
      <c r="K267" s="21" t="s">
        <v>19</v>
      </c>
      <c r="L267" s="21" t="s">
        <v>19</v>
      </c>
      <c r="M267" s="21" t="s">
        <v>19</v>
      </c>
      <c r="N267" s="17">
        <v>291</v>
      </c>
      <c r="O267" s="18">
        <v>0.53</v>
      </c>
    </row>
    <row r="268" spans="1:15" ht="17.399999999999999" x14ac:dyDescent="0.3">
      <c r="A268" s="7">
        <v>262</v>
      </c>
      <c r="B268" s="8" t="str">
        <f>HYPERLINK("https://webapp.icbf.com/v2/app/bull-search/view/1865556624","FR7017")</f>
        <v>FR7017</v>
      </c>
      <c r="C268" s="9" t="s">
        <v>294</v>
      </c>
      <c r="D268" s="10" t="s">
        <v>45</v>
      </c>
      <c r="E268" s="10" t="s">
        <v>27</v>
      </c>
      <c r="F268" s="33" t="s">
        <v>212</v>
      </c>
      <c r="G268" s="34">
        <v>0.32</v>
      </c>
      <c r="H268" s="35">
        <v>0.33</v>
      </c>
      <c r="I268" s="21" t="s">
        <v>19</v>
      </c>
      <c r="J268" s="21" t="s">
        <v>19</v>
      </c>
      <c r="K268" s="21" t="s">
        <v>19</v>
      </c>
      <c r="L268" s="21" t="s">
        <v>19</v>
      </c>
      <c r="M268" s="21" t="s">
        <v>19</v>
      </c>
      <c r="N268" s="17">
        <v>298</v>
      </c>
      <c r="O268" s="18">
        <v>0.55000000000000004</v>
      </c>
    </row>
    <row r="269" spans="1:15" ht="17.399999999999999" x14ac:dyDescent="0.3">
      <c r="A269" s="7">
        <v>263</v>
      </c>
      <c r="B269" s="8" t="str">
        <f>HYPERLINK("https://webapp.icbf.com/v2/app/bull-search/view/1167707200","ZSR   ")</f>
        <v xml:space="preserve">ZSR   </v>
      </c>
      <c r="C269" s="9" t="s">
        <v>295</v>
      </c>
      <c r="D269" s="10" t="s">
        <v>45</v>
      </c>
      <c r="E269" s="10" t="s">
        <v>27</v>
      </c>
      <c r="F269" s="33" t="s">
        <v>212</v>
      </c>
      <c r="G269" s="34">
        <v>0.32</v>
      </c>
      <c r="H269" s="35">
        <v>0.38</v>
      </c>
      <c r="I269" s="21">
        <v>32</v>
      </c>
      <c r="J269" s="21">
        <v>44</v>
      </c>
      <c r="K269" s="21">
        <v>337</v>
      </c>
      <c r="L269" s="23">
        <v>0.18</v>
      </c>
      <c r="M269" s="23">
        <v>0.16</v>
      </c>
      <c r="N269" s="17">
        <v>238</v>
      </c>
      <c r="O269" s="18">
        <v>0.91</v>
      </c>
    </row>
    <row r="270" spans="1:15" ht="17.399999999999999" x14ac:dyDescent="0.3">
      <c r="A270" s="7">
        <v>264</v>
      </c>
      <c r="B270" s="8" t="str">
        <f>HYPERLINK("https://webapp.icbf.com/v2/app/bull-search/view/1491034301","FR4397")</f>
        <v>FR4397</v>
      </c>
      <c r="C270" s="9" t="s">
        <v>296</v>
      </c>
      <c r="D270" s="10" t="s">
        <v>45</v>
      </c>
      <c r="E270" s="10" t="s">
        <v>21</v>
      </c>
      <c r="F270" s="33" t="s">
        <v>212</v>
      </c>
      <c r="G270" s="34">
        <v>0.32</v>
      </c>
      <c r="H270" s="35">
        <v>0.37</v>
      </c>
      <c r="I270" s="21">
        <v>5</v>
      </c>
      <c r="J270" s="21">
        <v>7</v>
      </c>
      <c r="K270" s="21">
        <v>174</v>
      </c>
      <c r="L270" s="22">
        <v>0</v>
      </c>
      <c r="M270" s="23">
        <v>0.12</v>
      </c>
      <c r="N270" s="17">
        <v>215</v>
      </c>
      <c r="O270" s="18">
        <v>0.66</v>
      </c>
    </row>
    <row r="271" spans="1:15" ht="17.399999999999999" x14ac:dyDescent="0.3">
      <c r="A271" s="7">
        <v>265</v>
      </c>
      <c r="B271" s="8" t="str">
        <f>HYPERLINK("https://webapp.icbf.com/v2/app/bull-search/view/1017312946","FR4971")</f>
        <v>FR4971</v>
      </c>
      <c r="C271" s="9" t="s">
        <v>297</v>
      </c>
      <c r="D271" s="10" t="s">
        <v>23</v>
      </c>
      <c r="E271" s="10" t="s">
        <v>17</v>
      </c>
      <c r="F271" s="33" t="s">
        <v>212</v>
      </c>
      <c r="G271" s="34">
        <v>0.32</v>
      </c>
      <c r="H271" s="35">
        <v>0.24</v>
      </c>
      <c r="I271" s="21" t="s">
        <v>19</v>
      </c>
      <c r="J271" s="21" t="s">
        <v>19</v>
      </c>
      <c r="K271" s="21" t="s">
        <v>19</v>
      </c>
      <c r="L271" s="21" t="s">
        <v>19</v>
      </c>
      <c r="M271" s="21" t="s">
        <v>19</v>
      </c>
      <c r="N271" s="17">
        <v>249</v>
      </c>
      <c r="O271" s="18">
        <v>0.7</v>
      </c>
    </row>
    <row r="272" spans="1:15" ht="17.399999999999999" x14ac:dyDescent="0.3">
      <c r="A272" s="7">
        <v>266</v>
      </c>
      <c r="B272" s="8" t="str">
        <f>HYPERLINK("https://webapp.icbf.com/v2/app/bull-search/view/1607464972","FR5208")</f>
        <v>FR5208</v>
      </c>
      <c r="C272" s="9" t="s">
        <v>298</v>
      </c>
      <c r="D272" s="10" t="s">
        <v>45</v>
      </c>
      <c r="E272" s="10" t="s">
        <v>27</v>
      </c>
      <c r="F272" s="33" t="s">
        <v>212</v>
      </c>
      <c r="G272" s="34">
        <v>0.32</v>
      </c>
      <c r="H272" s="35">
        <v>0.3</v>
      </c>
      <c r="I272" s="21" t="s">
        <v>19</v>
      </c>
      <c r="J272" s="21" t="s">
        <v>19</v>
      </c>
      <c r="K272" s="21" t="s">
        <v>19</v>
      </c>
      <c r="L272" s="21" t="s">
        <v>19</v>
      </c>
      <c r="M272" s="21" t="s">
        <v>19</v>
      </c>
      <c r="N272" s="17">
        <v>279</v>
      </c>
      <c r="O272" s="18">
        <v>0.6</v>
      </c>
    </row>
    <row r="273" spans="1:15" ht="17.399999999999999" x14ac:dyDescent="0.3">
      <c r="A273" s="7">
        <v>267</v>
      </c>
      <c r="B273" s="8" t="str">
        <f>HYPERLINK("https://webapp.icbf.com/v2/app/bull-search/view/1741086335","FR6085")</f>
        <v>FR6085</v>
      </c>
      <c r="C273" s="9" t="s">
        <v>299</v>
      </c>
      <c r="D273" s="10" t="s">
        <v>45</v>
      </c>
      <c r="E273" s="10" t="s">
        <v>27</v>
      </c>
      <c r="F273" s="33" t="s">
        <v>212</v>
      </c>
      <c r="G273" s="34">
        <v>0.32</v>
      </c>
      <c r="H273" s="35">
        <v>0.28999999999999998</v>
      </c>
      <c r="I273" s="21" t="s">
        <v>19</v>
      </c>
      <c r="J273" s="21" t="s">
        <v>19</v>
      </c>
      <c r="K273" s="21" t="s">
        <v>19</v>
      </c>
      <c r="L273" s="21" t="s">
        <v>19</v>
      </c>
      <c r="M273" s="21" t="s">
        <v>19</v>
      </c>
      <c r="N273" s="17">
        <v>286</v>
      </c>
      <c r="O273" s="18">
        <v>0.53</v>
      </c>
    </row>
    <row r="274" spans="1:15" ht="17.399999999999999" x14ac:dyDescent="0.3">
      <c r="A274" s="7">
        <v>268</v>
      </c>
      <c r="B274" s="8" t="str">
        <f>HYPERLINK("https://webapp.icbf.com/v2/app/bull-search/view/1822119747","FR6454")</f>
        <v>FR6454</v>
      </c>
      <c r="C274" s="9" t="s">
        <v>300</v>
      </c>
      <c r="D274" s="10" t="s">
        <v>45</v>
      </c>
      <c r="E274" s="10" t="s">
        <v>27</v>
      </c>
      <c r="F274" s="33" t="s">
        <v>212</v>
      </c>
      <c r="G274" s="34">
        <v>0.32</v>
      </c>
      <c r="H274" s="35">
        <v>0.34</v>
      </c>
      <c r="I274" s="21" t="s">
        <v>19</v>
      </c>
      <c r="J274" s="21" t="s">
        <v>19</v>
      </c>
      <c r="K274" s="21" t="s">
        <v>19</v>
      </c>
      <c r="L274" s="21" t="s">
        <v>19</v>
      </c>
      <c r="M274" s="21" t="s">
        <v>19</v>
      </c>
      <c r="N274" s="17">
        <v>289</v>
      </c>
      <c r="O274" s="18">
        <v>0.52</v>
      </c>
    </row>
    <row r="275" spans="1:15" ht="17.399999999999999" x14ac:dyDescent="0.3">
      <c r="A275" s="7">
        <v>269</v>
      </c>
      <c r="B275" s="8" t="str">
        <f>HYPERLINK("https://webapp.icbf.com/v2/app/bull-search/view/1875185863","FR6484")</f>
        <v>FR6484</v>
      </c>
      <c r="C275" s="9" t="s">
        <v>301</v>
      </c>
      <c r="D275" s="10" t="s">
        <v>45</v>
      </c>
      <c r="E275" s="10" t="s">
        <v>21</v>
      </c>
      <c r="F275" s="33" t="s">
        <v>302</v>
      </c>
      <c r="G275" s="34">
        <v>0.32</v>
      </c>
      <c r="H275" s="35">
        <v>0.34</v>
      </c>
      <c r="I275" s="21" t="s">
        <v>19</v>
      </c>
      <c r="J275" s="21" t="s">
        <v>19</v>
      </c>
      <c r="K275" s="21" t="s">
        <v>19</v>
      </c>
      <c r="L275" s="21" t="s">
        <v>19</v>
      </c>
      <c r="M275" s="21" t="s">
        <v>19</v>
      </c>
      <c r="N275" s="17">
        <v>355</v>
      </c>
      <c r="O275" s="18">
        <v>0.53</v>
      </c>
    </row>
    <row r="276" spans="1:15" ht="17.399999999999999" x14ac:dyDescent="0.3">
      <c r="A276" s="7">
        <v>270</v>
      </c>
      <c r="B276" s="8" t="str">
        <f>HYPERLINK("https://webapp.icbf.com/v2/app/bull-search/view/1851608729","FR7113")</f>
        <v>FR7113</v>
      </c>
      <c r="C276" s="9" t="s">
        <v>303</v>
      </c>
      <c r="D276" s="10" t="s">
        <v>45</v>
      </c>
      <c r="E276" s="10" t="s">
        <v>27</v>
      </c>
      <c r="F276" s="33" t="s">
        <v>302</v>
      </c>
      <c r="G276" s="34">
        <v>0.32</v>
      </c>
      <c r="H276" s="35">
        <v>0.32</v>
      </c>
      <c r="I276" s="21" t="s">
        <v>19</v>
      </c>
      <c r="J276" s="21" t="s">
        <v>19</v>
      </c>
      <c r="K276" s="21" t="s">
        <v>19</v>
      </c>
      <c r="L276" s="21" t="s">
        <v>19</v>
      </c>
      <c r="M276" s="21" t="s">
        <v>19</v>
      </c>
      <c r="N276" s="17">
        <v>304</v>
      </c>
      <c r="O276" s="18">
        <v>0.53</v>
      </c>
    </row>
    <row r="277" spans="1:15" ht="17.399999999999999" x14ac:dyDescent="0.3">
      <c r="A277" s="7">
        <v>271</v>
      </c>
      <c r="B277" s="8" t="str">
        <f>HYPERLINK("https://webapp.icbf.com/v2/app/bull-search/view/1359483552","FR4244")</f>
        <v>FR4244</v>
      </c>
      <c r="C277" s="9" t="s">
        <v>304</v>
      </c>
      <c r="D277" s="10" t="s">
        <v>45</v>
      </c>
      <c r="E277" s="10" t="s">
        <v>17</v>
      </c>
      <c r="F277" s="33" t="s">
        <v>302</v>
      </c>
      <c r="G277" s="34">
        <v>0.32</v>
      </c>
      <c r="H277" s="35">
        <v>0.38</v>
      </c>
      <c r="I277" s="21">
        <v>24</v>
      </c>
      <c r="J277" s="21">
        <v>47</v>
      </c>
      <c r="K277" s="21">
        <v>556</v>
      </c>
      <c r="L277" s="22">
        <v>4.2999999999999997E-2</v>
      </c>
      <c r="M277" s="22">
        <v>4.9000000000000002E-2</v>
      </c>
      <c r="N277" s="17">
        <v>231</v>
      </c>
      <c r="O277" s="18">
        <v>0.82</v>
      </c>
    </row>
    <row r="278" spans="1:15" ht="17.399999999999999" x14ac:dyDescent="0.3">
      <c r="A278" s="7">
        <v>272</v>
      </c>
      <c r="B278" s="8" t="str">
        <f>HYPERLINK("https://webapp.icbf.com/v2/app/bull-search/view/1478889775","FR4513")</f>
        <v>FR4513</v>
      </c>
      <c r="C278" s="9" t="s">
        <v>305</v>
      </c>
      <c r="D278" s="10" t="s">
        <v>45</v>
      </c>
      <c r="E278" s="10" t="s">
        <v>27</v>
      </c>
      <c r="F278" s="33" t="s">
        <v>302</v>
      </c>
      <c r="G278" s="34">
        <v>0.32</v>
      </c>
      <c r="H278" s="35">
        <v>0.36</v>
      </c>
      <c r="I278" s="21" t="s">
        <v>19</v>
      </c>
      <c r="J278" s="21" t="s">
        <v>19</v>
      </c>
      <c r="K278" s="21" t="s">
        <v>19</v>
      </c>
      <c r="L278" s="21" t="s">
        <v>19</v>
      </c>
      <c r="M278" s="21" t="s">
        <v>19</v>
      </c>
      <c r="N278" s="17">
        <v>281</v>
      </c>
      <c r="O278" s="18">
        <v>0.64</v>
      </c>
    </row>
    <row r="279" spans="1:15" ht="17.399999999999999" x14ac:dyDescent="0.3">
      <c r="A279" s="7">
        <v>273</v>
      </c>
      <c r="B279" s="8" t="str">
        <f>HYPERLINK("https://webapp.icbf.com/v2/app/bull-search/view/1603330534","FR4842")</f>
        <v>FR4842</v>
      </c>
      <c r="C279" s="9" t="s">
        <v>306</v>
      </c>
      <c r="D279" s="10" t="s">
        <v>45</v>
      </c>
      <c r="E279" s="10" t="s">
        <v>27</v>
      </c>
      <c r="F279" s="33" t="s">
        <v>302</v>
      </c>
      <c r="G279" s="34">
        <v>0.32</v>
      </c>
      <c r="H279" s="35">
        <v>0.35</v>
      </c>
      <c r="I279" s="21" t="s">
        <v>19</v>
      </c>
      <c r="J279" s="21" t="s">
        <v>19</v>
      </c>
      <c r="K279" s="21" t="s">
        <v>19</v>
      </c>
      <c r="L279" s="21" t="s">
        <v>19</v>
      </c>
      <c r="M279" s="21" t="s">
        <v>19</v>
      </c>
      <c r="N279" s="17">
        <v>245</v>
      </c>
      <c r="O279" s="18">
        <v>0.61</v>
      </c>
    </row>
    <row r="280" spans="1:15" ht="17.399999999999999" x14ac:dyDescent="0.3">
      <c r="A280" s="7">
        <v>274</v>
      </c>
      <c r="B280" s="8" t="str">
        <f>HYPERLINK("https://webapp.icbf.com/v2/app/bull-search/view/1356073076","FR4106")</f>
        <v>FR4106</v>
      </c>
      <c r="C280" s="9" t="s">
        <v>307</v>
      </c>
      <c r="D280" s="10" t="s">
        <v>45</v>
      </c>
      <c r="E280" s="10" t="s">
        <v>27</v>
      </c>
      <c r="F280" s="33" t="s">
        <v>302</v>
      </c>
      <c r="G280" s="34">
        <v>0.32</v>
      </c>
      <c r="H280" s="35">
        <v>0.32</v>
      </c>
      <c r="I280" s="21">
        <v>10</v>
      </c>
      <c r="J280" s="21">
        <v>16</v>
      </c>
      <c r="K280" s="21">
        <v>292</v>
      </c>
      <c r="L280" s="22">
        <v>6.3E-2</v>
      </c>
      <c r="M280" s="22">
        <v>4.4999999999999998E-2</v>
      </c>
      <c r="N280" s="17">
        <v>214</v>
      </c>
      <c r="O280" s="18">
        <v>0.79</v>
      </c>
    </row>
    <row r="281" spans="1:15" ht="17.399999999999999" x14ac:dyDescent="0.3">
      <c r="A281" s="7">
        <v>275</v>
      </c>
      <c r="B281" s="8" t="str">
        <f>HYPERLINK("https://webapp.icbf.com/v2/app/bull-search/view/1729551025","FR5884")</f>
        <v>FR5884</v>
      </c>
      <c r="C281" s="9" t="s">
        <v>308</v>
      </c>
      <c r="D281" s="10" t="s">
        <v>45</v>
      </c>
      <c r="E281" s="10" t="s">
        <v>27</v>
      </c>
      <c r="F281" s="33" t="s">
        <v>302</v>
      </c>
      <c r="G281" s="34">
        <v>0.32</v>
      </c>
      <c r="H281" s="35">
        <v>0.25</v>
      </c>
      <c r="I281" s="21" t="s">
        <v>19</v>
      </c>
      <c r="J281" s="21" t="s">
        <v>19</v>
      </c>
      <c r="K281" s="21" t="s">
        <v>19</v>
      </c>
      <c r="L281" s="21" t="s">
        <v>19</v>
      </c>
      <c r="M281" s="21" t="s">
        <v>19</v>
      </c>
      <c r="N281" s="17">
        <v>288</v>
      </c>
      <c r="O281" s="18">
        <v>0.53</v>
      </c>
    </row>
    <row r="282" spans="1:15" ht="17.399999999999999" x14ac:dyDescent="0.3">
      <c r="A282" s="7">
        <v>276</v>
      </c>
      <c r="B282" s="8" t="str">
        <f>HYPERLINK("https://webapp.icbf.com/v2/app/bull-search/view/1731738071","FR5971")</f>
        <v>FR5971</v>
      </c>
      <c r="C282" s="9" t="s">
        <v>309</v>
      </c>
      <c r="D282" s="10" t="s">
        <v>45</v>
      </c>
      <c r="E282" s="10" t="s">
        <v>27</v>
      </c>
      <c r="F282" s="33" t="s">
        <v>302</v>
      </c>
      <c r="G282" s="34">
        <v>0.32</v>
      </c>
      <c r="H282" s="35">
        <v>0.26</v>
      </c>
      <c r="I282" s="21" t="s">
        <v>19</v>
      </c>
      <c r="J282" s="21" t="s">
        <v>19</v>
      </c>
      <c r="K282" s="21" t="s">
        <v>19</v>
      </c>
      <c r="L282" s="21" t="s">
        <v>19</v>
      </c>
      <c r="M282" s="21" t="s">
        <v>19</v>
      </c>
      <c r="N282" s="17">
        <v>253</v>
      </c>
      <c r="O282" s="18">
        <v>0.54</v>
      </c>
    </row>
    <row r="283" spans="1:15" ht="17.399999999999999" x14ac:dyDescent="0.3">
      <c r="A283" s="7">
        <v>277</v>
      </c>
      <c r="B283" s="8" t="str">
        <f>HYPERLINK("https://webapp.icbf.com/v2/app/bull-search/view/1742189350","FR6061")</f>
        <v>FR6061</v>
      </c>
      <c r="C283" s="9" t="s">
        <v>310</v>
      </c>
      <c r="D283" s="10" t="s">
        <v>45</v>
      </c>
      <c r="E283" s="10" t="s">
        <v>17</v>
      </c>
      <c r="F283" s="33" t="s">
        <v>302</v>
      </c>
      <c r="G283" s="34">
        <v>0.32</v>
      </c>
      <c r="H283" s="35">
        <v>0.28000000000000003</v>
      </c>
      <c r="I283" s="21" t="s">
        <v>19</v>
      </c>
      <c r="J283" s="21" t="s">
        <v>19</v>
      </c>
      <c r="K283" s="21" t="s">
        <v>19</v>
      </c>
      <c r="L283" s="21" t="s">
        <v>19</v>
      </c>
      <c r="M283" s="21" t="s">
        <v>19</v>
      </c>
      <c r="N283" s="17">
        <v>281</v>
      </c>
      <c r="O283" s="18">
        <v>0.57999999999999996</v>
      </c>
    </row>
    <row r="284" spans="1:15" ht="17.399999999999999" x14ac:dyDescent="0.3">
      <c r="A284" s="7">
        <v>278</v>
      </c>
      <c r="B284" s="8" t="str">
        <f>HYPERLINK("https://webapp.icbf.com/v2/app/bull-search/view/1140829164","FR2101")</f>
        <v>FR2101</v>
      </c>
      <c r="C284" s="9" t="s">
        <v>311</v>
      </c>
      <c r="D284" s="10" t="s">
        <v>45</v>
      </c>
      <c r="E284" s="10" t="s">
        <v>17</v>
      </c>
      <c r="F284" s="33" t="s">
        <v>302</v>
      </c>
      <c r="G284" s="34">
        <v>0.32</v>
      </c>
      <c r="H284" s="35">
        <v>0.41</v>
      </c>
      <c r="I284" s="21">
        <v>18</v>
      </c>
      <c r="J284" s="21">
        <v>20</v>
      </c>
      <c r="K284" s="21">
        <v>396</v>
      </c>
      <c r="L284" s="23">
        <v>0.1</v>
      </c>
      <c r="M284" s="23">
        <v>0.11</v>
      </c>
      <c r="N284" s="17">
        <v>207</v>
      </c>
      <c r="O284" s="18">
        <v>0.89</v>
      </c>
    </row>
    <row r="285" spans="1:15" ht="17.399999999999999" x14ac:dyDescent="0.3">
      <c r="A285" s="7">
        <v>279</v>
      </c>
      <c r="B285" s="8" t="str">
        <f>HYPERLINK("https://webapp.icbf.com/v2/app/bull-search/view/1164192970","S2130 ")</f>
        <v xml:space="preserve">S2130 </v>
      </c>
      <c r="C285" s="9" t="s">
        <v>312</v>
      </c>
      <c r="D285" s="10" t="s">
        <v>45</v>
      </c>
      <c r="E285" s="10" t="s">
        <v>17</v>
      </c>
      <c r="F285" s="33" t="s">
        <v>302</v>
      </c>
      <c r="G285" s="34">
        <v>0.32</v>
      </c>
      <c r="H285" s="35">
        <v>0.3</v>
      </c>
      <c r="I285" s="21" t="s">
        <v>19</v>
      </c>
      <c r="J285" s="21" t="s">
        <v>19</v>
      </c>
      <c r="K285" s="21" t="s">
        <v>19</v>
      </c>
      <c r="L285" s="21" t="s">
        <v>19</v>
      </c>
      <c r="M285" s="21" t="s">
        <v>19</v>
      </c>
      <c r="N285" s="17">
        <v>226</v>
      </c>
      <c r="O285" s="18">
        <v>0.86</v>
      </c>
    </row>
    <row r="286" spans="1:15" ht="17.399999999999999" x14ac:dyDescent="0.3">
      <c r="A286" s="7">
        <v>280</v>
      </c>
      <c r="B286" s="8" t="str">
        <f>HYPERLINK("https://webapp.icbf.com/v2/app/bull-search/view/760394796","BGJ   ")</f>
        <v xml:space="preserve">BGJ   </v>
      </c>
      <c r="C286" s="9" t="s">
        <v>313</v>
      </c>
      <c r="D286" s="10" t="s">
        <v>23</v>
      </c>
      <c r="E286" s="10" t="s">
        <v>17</v>
      </c>
      <c r="F286" s="33" t="s">
        <v>302</v>
      </c>
      <c r="G286" s="34">
        <v>0.32</v>
      </c>
      <c r="H286" s="35">
        <v>0.71</v>
      </c>
      <c r="I286" s="21">
        <v>382</v>
      </c>
      <c r="J286" s="21">
        <v>669</v>
      </c>
      <c r="K286" s="21">
        <v>5407</v>
      </c>
      <c r="L286" s="23">
        <v>0.11</v>
      </c>
      <c r="M286" s="23">
        <v>0.1</v>
      </c>
      <c r="N286" s="17">
        <v>227</v>
      </c>
      <c r="O286" s="18">
        <v>0.98</v>
      </c>
    </row>
    <row r="287" spans="1:15" ht="17.399999999999999" x14ac:dyDescent="0.3">
      <c r="A287" s="7">
        <v>281</v>
      </c>
      <c r="B287" s="8" t="str">
        <f>HYPERLINK("https://webapp.icbf.com/v2/app/bull-search/view/1610983399","FR5121")</f>
        <v>FR5121</v>
      </c>
      <c r="C287" s="9" t="s">
        <v>314</v>
      </c>
      <c r="D287" s="10" t="s">
        <v>45</v>
      </c>
      <c r="E287" s="10" t="s">
        <v>17</v>
      </c>
      <c r="F287" s="33" t="s">
        <v>302</v>
      </c>
      <c r="G287" s="34">
        <v>0.32</v>
      </c>
      <c r="H287" s="35">
        <v>0.34</v>
      </c>
      <c r="I287" s="21" t="s">
        <v>19</v>
      </c>
      <c r="J287" s="21" t="s">
        <v>19</v>
      </c>
      <c r="K287" s="21" t="s">
        <v>19</v>
      </c>
      <c r="L287" s="21" t="s">
        <v>19</v>
      </c>
      <c r="M287" s="21" t="s">
        <v>19</v>
      </c>
      <c r="N287" s="17">
        <v>245</v>
      </c>
      <c r="O287" s="18">
        <v>0.62</v>
      </c>
    </row>
    <row r="288" spans="1:15" ht="17.399999999999999" x14ac:dyDescent="0.3">
      <c r="A288" s="7">
        <v>282</v>
      </c>
      <c r="B288" s="8" t="str">
        <f>HYPERLINK("https://webapp.icbf.com/v2/app/bull-search/view/1607465107","FR5253")</f>
        <v>FR5253</v>
      </c>
      <c r="C288" s="9" t="s">
        <v>315</v>
      </c>
      <c r="D288" s="10" t="s">
        <v>45</v>
      </c>
      <c r="E288" s="10" t="s">
        <v>27</v>
      </c>
      <c r="F288" s="33" t="s">
        <v>302</v>
      </c>
      <c r="G288" s="34">
        <v>0.32</v>
      </c>
      <c r="H288" s="35">
        <v>0.43</v>
      </c>
      <c r="I288" s="21" t="s">
        <v>19</v>
      </c>
      <c r="J288" s="21" t="s">
        <v>19</v>
      </c>
      <c r="K288" s="21" t="s">
        <v>19</v>
      </c>
      <c r="L288" s="21" t="s">
        <v>19</v>
      </c>
      <c r="M288" s="21" t="s">
        <v>19</v>
      </c>
      <c r="N288" s="17">
        <v>247</v>
      </c>
      <c r="O288" s="18">
        <v>0.61</v>
      </c>
    </row>
    <row r="289" spans="1:15" ht="17.399999999999999" x14ac:dyDescent="0.3">
      <c r="A289" s="7">
        <v>283</v>
      </c>
      <c r="B289" s="8" t="str">
        <f>HYPERLINK("https://webapp.icbf.com/v2/app/bull-search/view/1867287363","FR6520")</f>
        <v>FR6520</v>
      </c>
      <c r="C289" s="9" t="s">
        <v>316</v>
      </c>
      <c r="D289" s="10" t="s">
        <v>45</v>
      </c>
      <c r="E289" s="10" t="s">
        <v>21</v>
      </c>
      <c r="F289" s="33" t="s">
        <v>302</v>
      </c>
      <c r="G289" s="34">
        <v>0.32</v>
      </c>
      <c r="H289" s="35">
        <v>0.3</v>
      </c>
      <c r="I289" s="21" t="s">
        <v>19</v>
      </c>
      <c r="J289" s="21" t="s">
        <v>19</v>
      </c>
      <c r="K289" s="21" t="s">
        <v>19</v>
      </c>
      <c r="L289" s="21" t="s">
        <v>19</v>
      </c>
      <c r="M289" s="21" t="s">
        <v>19</v>
      </c>
      <c r="N289" s="17">
        <v>316</v>
      </c>
      <c r="O289" s="18">
        <v>0.52</v>
      </c>
    </row>
    <row r="290" spans="1:15" ht="17.399999999999999" x14ac:dyDescent="0.3">
      <c r="A290" s="7">
        <v>284</v>
      </c>
      <c r="B290" s="8" t="str">
        <f>HYPERLINK("https://webapp.icbf.com/v2/app/bull-search/view/1862526347","FR6586")</f>
        <v>FR6586</v>
      </c>
      <c r="C290" s="9" t="s">
        <v>317</v>
      </c>
      <c r="D290" s="10" t="s">
        <v>45</v>
      </c>
      <c r="E290" s="10" t="s">
        <v>27</v>
      </c>
      <c r="F290" s="33" t="s">
        <v>302</v>
      </c>
      <c r="G290" s="34">
        <v>0.32</v>
      </c>
      <c r="H290" s="35">
        <v>0.31</v>
      </c>
      <c r="I290" s="21" t="s">
        <v>19</v>
      </c>
      <c r="J290" s="21" t="s">
        <v>19</v>
      </c>
      <c r="K290" s="21" t="s">
        <v>19</v>
      </c>
      <c r="L290" s="21" t="s">
        <v>19</v>
      </c>
      <c r="M290" s="21" t="s">
        <v>19</v>
      </c>
      <c r="N290" s="17">
        <v>329</v>
      </c>
      <c r="O290" s="18">
        <v>0.52</v>
      </c>
    </row>
    <row r="291" spans="1:15" ht="17.399999999999999" x14ac:dyDescent="0.3">
      <c r="A291" s="7">
        <v>285</v>
      </c>
      <c r="B291" s="8" t="str">
        <f>HYPERLINK("https://webapp.icbf.com/v2/app/bull-search/view/1240482552","FR2229")</f>
        <v>FR2229</v>
      </c>
      <c r="C291" s="9" t="s">
        <v>318</v>
      </c>
      <c r="D291" s="10" t="s">
        <v>45</v>
      </c>
      <c r="E291" s="10" t="s">
        <v>17</v>
      </c>
      <c r="F291" s="33" t="s">
        <v>302</v>
      </c>
      <c r="G291" s="34">
        <v>0.32</v>
      </c>
      <c r="H291" s="35">
        <v>0.32</v>
      </c>
      <c r="I291" s="21">
        <v>16</v>
      </c>
      <c r="J291" s="21">
        <v>23</v>
      </c>
      <c r="K291" s="21">
        <v>172</v>
      </c>
      <c r="L291" s="23">
        <v>0.13</v>
      </c>
      <c r="M291" s="23">
        <v>0.12</v>
      </c>
      <c r="N291" s="17">
        <v>226</v>
      </c>
      <c r="O291" s="18">
        <v>0.89</v>
      </c>
    </row>
    <row r="292" spans="1:15" ht="17.399999999999999" x14ac:dyDescent="0.3">
      <c r="A292" s="7">
        <v>286</v>
      </c>
      <c r="B292" s="8" t="str">
        <f>HYPERLINK("https://webapp.icbf.com/v2/app/bull-search/view/1242006257","FR2314")</f>
        <v>FR2314</v>
      </c>
      <c r="C292" s="9" t="s">
        <v>319</v>
      </c>
      <c r="D292" s="10" t="s">
        <v>45</v>
      </c>
      <c r="E292" s="10" t="s">
        <v>21</v>
      </c>
      <c r="F292" s="33" t="s">
        <v>302</v>
      </c>
      <c r="G292" s="34">
        <v>0.32</v>
      </c>
      <c r="H292" s="35">
        <v>0.55000000000000004</v>
      </c>
      <c r="I292" s="21">
        <v>143</v>
      </c>
      <c r="J292" s="21">
        <v>283</v>
      </c>
      <c r="K292" s="21">
        <v>2616</v>
      </c>
      <c r="L292" s="22">
        <v>8.7999999999999995E-2</v>
      </c>
      <c r="M292" s="22">
        <v>7.0999999999999994E-2</v>
      </c>
      <c r="N292" s="17">
        <v>231</v>
      </c>
      <c r="O292" s="18">
        <v>0.91</v>
      </c>
    </row>
    <row r="293" spans="1:15" ht="17.399999999999999" x14ac:dyDescent="0.3">
      <c r="A293" s="7">
        <v>287</v>
      </c>
      <c r="B293" s="8" t="str">
        <f>HYPERLINK("https://webapp.icbf.com/v2/app/bull-search/view/1482299299","FR4477")</f>
        <v>FR4477</v>
      </c>
      <c r="C293" s="9" t="s">
        <v>320</v>
      </c>
      <c r="D293" s="10" t="s">
        <v>45</v>
      </c>
      <c r="E293" s="10" t="s">
        <v>62</v>
      </c>
      <c r="F293" s="33" t="s">
        <v>302</v>
      </c>
      <c r="G293" s="34">
        <v>0.32</v>
      </c>
      <c r="H293" s="35">
        <v>0.28000000000000003</v>
      </c>
      <c r="I293" s="21" t="s">
        <v>19</v>
      </c>
      <c r="J293" s="21" t="s">
        <v>19</v>
      </c>
      <c r="K293" s="21" t="s">
        <v>19</v>
      </c>
      <c r="L293" s="21" t="s">
        <v>19</v>
      </c>
      <c r="M293" s="21" t="s">
        <v>19</v>
      </c>
      <c r="N293" s="17">
        <v>294</v>
      </c>
      <c r="O293" s="18">
        <v>0.61</v>
      </c>
    </row>
    <row r="294" spans="1:15" ht="17.399999999999999" x14ac:dyDescent="0.3">
      <c r="A294" s="7">
        <v>288</v>
      </c>
      <c r="B294" s="8" t="str">
        <f>HYPERLINK("https://webapp.icbf.com/v2/app/bull-search/view/1608582720","FR4720")</f>
        <v>FR4720</v>
      </c>
      <c r="C294" s="9" t="s">
        <v>321</v>
      </c>
      <c r="D294" s="10" t="s">
        <v>45</v>
      </c>
      <c r="E294" s="10" t="s">
        <v>21</v>
      </c>
      <c r="F294" s="33" t="s">
        <v>302</v>
      </c>
      <c r="G294" s="34">
        <v>0.32</v>
      </c>
      <c r="H294" s="35">
        <v>0.41</v>
      </c>
      <c r="I294" s="21" t="s">
        <v>19</v>
      </c>
      <c r="J294" s="21" t="s">
        <v>19</v>
      </c>
      <c r="K294" s="21" t="s">
        <v>19</v>
      </c>
      <c r="L294" s="21" t="s">
        <v>19</v>
      </c>
      <c r="M294" s="21" t="s">
        <v>19</v>
      </c>
      <c r="N294" s="17">
        <v>254</v>
      </c>
      <c r="O294" s="18">
        <v>0.65</v>
      </c>
    </row>
    <row r="295" spans="1:15" ht="17.399999999999999" x14ac:dyDescent="0.3">
      <c r="A295" s="7">
        <v>289</v>
      </c>
      <c r="B295" s="8" t="str">
        <f>HYPERLINK("https://webapp.icbf.com/v2/app/bull-search/view/1678804039","FR5085")</f>
        <v>FR5085</v>
      </c>
      <c r="C295" s="9" t="s">
        <v>322</v>
      </c>
      <c r="D295" s="10" t="s">
        <v>45</v>
      </c>
      <c r="E295" s="10" t="s">
        <v>145</v>
      </c>
      <c r="F295" s="33" t="s">
        <v>302</v>
      </c>
      <c r="G295" s="34">
        <v>0.32</v>
      </c>
      <c r="H295" s="35">
        <v>0.27</v>
      </c>
      <c r="I295" s="21" t="s">
        <v>19</v>
      </c>
      <c r="J295" s="21" t="s">
        <v>19</v>
      </c>
      <c r="K295" s="21" t="s">
        <v>19</v>
      </c>
      <c r="L295" s="21" t="s">
        <v>19</v>
      </c>
      <c r="M295" s="21" t="s">
        <v>19</v>
      </c>
      <c r="N295" s="17">
        <v>226</v>
      </c>
      <c r="O295" s="18">
        <v>0.59</v>
      </c>
    </row>
    <row r="296" spans="1:15" ht="17.399999999999999" x14ac:dyDescent="0.3">
      <c r="A296" s="7">
        <v>290</v>
      </c>
      <c r="B296" s="8" t="str">
        <f>HYPERLINK("https://webapp.icbf.com/v2/app/bull-search/view/1862540725","FR6523")</f>
        <v>FR6523</v>
      </c>
      <c r="C296" s="9" t="s">
        <v>323</v>
      </c>
      <c r="D296" s="10" t="s">
        <v>45</v>
      </c>
      <c r="E296" s="10" t="s">
        <v>21</v>
      </c>
      <c r="F296" s="33" t="s">
        <v>302</v>
      </c>
      <c r="G296" s="34">
        <v>0.32</v>
      </c>
      <c r="H296" s="35">
        <v>0.32</v>
      </c>
      <c r="I296" s="21" t="s">
        <v>19</v>
      </c>
      <c r="J296" s="21" t="s">
        <v>19</v>
      </c>
      <c r="K296" s="21" t="s">
        <v>19</v>
      </c>
      <c r="L296" s="21" t="s">
        <v>19</v>
      </c>
      <c r="M296" s="21" t="s">
        <v>19</v>
      </c>
      <c r="N296" s="17">
        <v>324</v>
      </c>
      <c r="O296" s="18">
        <v>0.52</v>
      </c>
    </row>
    <row r="297" spans="1:15" ht="17.399999999999999" x14ac:dyDescent="0.3">
      <c r="A297" s="7">
        <v>291</v>
      </c>
      <c r="B297" s="8" t="str">
        <f>HYPERLINK("https://webapp.icbf.com/v2/app/bull-search/view/1126966051","FR2023")</f>
        <v>FR2023</v>
      </c>
      <c r="C297" s="9" t="s">
        <v>324</v>
      </c>
      <c r="D297" s="10" t="s">
        <v>45</v>
      </c>
      <c r="E297" s="10" t="s">
        <v>27</v>
      </c>
      <c r="F297" s="33" t="s">
        <v>302</v>
      </c>
      <c r="G297" s="34">
        <v>0.32</v>
      </c>
      <c r="H297" s="35">
        <v>0.42</v>
      </c>
      <c r="I297" s="21">
        <v>47</v>
      </c>
      <c r="J297" s="21">
        <v>68</v>
      </c>
      <c r="K297" s="21">
        <v>716</v>
      </c>
      <c r="L297" s="23">
        <v>0.12</v>
      </c>
      <c r="M297" s="23">
        <v>0.12</v>
      </c>
      <c r="N297" s="17">
        <v>211</v>
      </c>
      <c r="O297" s="18">
        <v>0.92</v>
      </c>
    </row>
    <row r="298" spans="1:15" ht="17.399999999999999" x14ac:dyDescent="0.3">
      <c r="A298" s="7">
        <v>292</v>
      </c>
      <c r="B298" s="8" t="str">
        <f>HYPERLINK("https://webapp.icbf.com/v2/app/bull-search/view/1614691833","FR4707")</f>
        <v>FR4707</v>
      </c>
      <c r="C298" s="9" t="s">
        <v>325</v>
      </c>
      <c r="D298" s="10" t="s">
        <v>45</v>
      </c>
      <c r="E298" s="10" t="s">
        <v>21</v>
      </c>
      <c r="F298" s="33" t="s">
        <v>302</v>
      </c>
      <c r="G298" s="34">
        <v>0.32</v>
      </c>
      <c r="H298" s="35">
        <v>0.38</v>
      </c>
      <c r="I298" s="21" t="s">
        <v>19</v>
      </c>
      <c r="J298" s="21" t="s">
        <v>19</v>
      </c>
      <c r="K298" s="21" t="s">
        <v>19</v>
      </c>
      <c r="L298" s="21" t="s">
        <v>19</v>
      </c>
      <c r="M298" s="21" t="s">
        <v>19</v>
      </c>
      <c r="N298" s="17">
        <v>245</v>
      </c>
      <c r="O298" s="18">
        <v>0.64</v>
      </c>
    </row>
    <row r="299" spans="1:15" ht="17.399999999999999" x14ac:dyDescent="0.3">
      <c r="A299" s="7">
        <v>293</v>
      </c>
      <c r="B299" s="8" t="str">
        <f>HYPERLINK("https://webapp.icbf.com/v2/app/bull-search/view/1859868273","FR6436")</f>
        <v>FR6436</v>
      </c>
      <c r="C299" s="9" t="s">
        <v>326</v>
      </c>
      <c r="D299" s="10" t="s">
        <v>45</v>
      </c>
      <c r="E299" s="10" t="s">
        <v>27</v>
      </c>
      <c r="F299" s="33" t="s">
        <v>302</v>
      </c>
      <c r="G299" s="34">
        <v>0.32</v>
      </c>
      <c r="H299" s="35">
        <v>0.27</v>
      </c>
      <c r="I299" s="21" t="s">
        <v>19</v>
      </c>
      <c r="J299" s="21" t="s">
        <v>19</v>
      </c>
      <c r="K299" s="21" t="s">
        <v>19</v>
      </c>
      <c r="L299" s="21" t="s">
        <v>19</v>
      </c>
      <c r="M299" s="21" t="s">
        <v>19</v>
      </c>
      <c r="N299" s="17">
        <v>296</v>
      </c>
      <c r="O299" s="18">
        <v>0.5</v>
      </c>
    </row>
    <row r="300" spans="1:15" ht="17.399999999999999" x14ac:dyDescent="0.3">
      <c r="A300" s="7">
        <v>294</v>
      </c>
      <c r="B300" s="8" t="str">
        <f>HYPERLINK("https://webapp.icbf.com/v2/app/bull-search/view/1931253980","FR6571")</f>
        <v>FR6571</v>
      </c>
      <c r="C300" s="9" t="s">
        <v>327</v>
      </c>
      <c r="D300" s="10" t="s">
        <v>45</v>
      </c>
      <c r="E300" s="10" t="s">
        <v>27</v>
      </c>
      <c r="F300" s="33" t="s">
        <v>302</v>
      </c>
      <c r="G300" s="34">
        <v>0.32</v>
      </c>
      <c r="H300" s="35">
        <v>0.3</v>
      </c>
      <c r="I300" s="21" t="s">
        <v>19</v>
      </c>
      <c r="J300" s="21" t="s">
        <v>19</v>
      </c>
      <c r="K300" s="21" t="s">
        <v>19</v>
      </c>
      <c r="L300" s="21" t="s">
        <v>19</v>
      </c>
      <c r="M300" s="21" t="s">
        <v>19</v>
      </c>
      <c r="N300" s="17">
        <v>266</v>
      </c>
      <c r="O300" s="18">
        <v>0.48</v>
      </c>
    </row>
    <row r="301" spans="1:15" ht="17.399999999999999" x14ac:dyDescent="0.3">
      <c r="A301" s="7">
        <v>295</v>
      </c>
      <c r="B301" s="8" t="str">
        <f>HYPERLINK("https://webapp.icbf.com/v2/app/bull-search/view/1474873999","FR4417")</f>
        <v>FR4417</v>
      </c>
      <c r="C301" s="9" t="s">
        <v>328</v>
      </c>
      <c r="D301" s="10" t="s">
        <v>45</v>
      </c>
      <c r="E301" s="10" t="s">
        <v>21</v>
      </c>
      <c r="F301" s="33" t="s">
        <v>302</v>
      </c>
      <c r="G301" s="34">
        <v>0.32</v>
      </c>
      <c r="H301" s="35">
        <v>0.33</v>
      </c>
      <c r="I301" s="21">
        <v>2</v>
      </c>
      <c r="J301" s="21">
        <v>2</v>
      </c>
      <c r="K301" s="21">
        <v>13</v>
      </c>
      <c r="L301" s="22">
        <v>0</v>
      </c>
      <c r="M301" s="23">
        <v>0.39</v>
      </c>
      <c r="N301" s="17">
        <v>212</v>
      </c>
      <c r="O301" s="18">
        <v>0.65</v>
      </c>
    </row>
    <row r="302" spans="1:15" ht="17.399999999999999" x14ac:dyDescent="0.3">
      <c r="A302" s="7">
        <v>296</v>
      </c>
      <c r="B302" s="8" t="str">
        <f>HYPERLINK("https://webapp.icbf.com/v2/app/bull-search/view/1729211338","FR6052")</f>
        <v>FR6052</v>
      </c>
      <c r="C302" s="9" t="s">
        <v>329</v>
      </c>
      <c r="D302" s="10" t="s">
        <v>45</v>
      </c>
      <c r="E302" s="10" t="s">
        <v>17</v>
      </c>
      <c r="F302" s="33" t="s">
        <v>302</v>
      </c>
      <c r="G302" s="34">
        <v>0.32</v>
      </c>
      <c r="H302" s="35">
        <v>0.3</v>
      </c>
      <c r="I302" s="21" t="s">
        <v>19</v>
      </c>
      <c r="J302" s="21" t="s">
        <v>19</v>
      </c>
      <c r="K302" s="21" t="s">
        <v>19</v>
      </c>
      <c r="L302" s="21" t="s">
        <v>19</v>
      </c>
      <c r="M302" s="21" t="s">
        <v>19</v>
      </c>
      <c r="N302" s="17">
        <v>264</v>
      </c>
      <c r="O302" s="18">
        <v>0.55000000000000004</v>
      </c>
    </row>
    <row r="303" spans="1:15" ht="17.399999999999999" x14ac:dyDescent="0.3">
      <c r="A303" s="7">
        <v>297</v>
      </c>
      <c r="B303" s="8" t="str">
        <f>HYPERLINK("https://webapp.icbf.com/v2/app/bull-search/view/1477623007","FR4518")</f>
        <v>FR4518</v>
      </c>
      <c r="C303" s="9" t="s">
        <v>330</v>
      </c>
      <c r="D303" s="10" t="s">
        <v>45</v>
      </c>
      <c r="E303" s="10" t="s">
        <v>27</v>
      </c>
      <c r="F303" s="33" t="s">
        <v>302</v>
      </c>
      <c r="G303" s="34">
        <v>0.32</v>
      </c>
      <c r="H303" s="35">
        <v>0.39</v>
      </c>
      <c r="I303" s="21" t="s">
        <v>19</v>
      </c>
      <c r="J303" s="21" t="s">
        <v>19</v>
      </c>
      <c r="K303" s="21" t="s">
        <v>19</v>
      </c>
      <c r="L303" s="21" t="s">
        <v>19</v>
      </c>
      <c r="M303" s="21" t="s">
        <v>19</v>
      </c>
      <c r="N303" s="17">
        <v>216</v>
      </c>
      <c r="O303" s="18">
        <v>0.63</v>
      </c>
    </row>
    <row r="304" spans="1:15" ht="17.399999999999999" x14ac:dyDescent="0.3">
      <c r="A304" s="7">
        <v>298</v>
      </c>
      <c r="B304" s="8" t="str">
        <f>HYPERLINK("https://webapp.icbf.com/v2/app/bull-search/view/1601713813","FR4896")</f>
        <v>FR4896</v>
      </c>
      <c r="C304" s="9" t="s">
        <v>331</v>
      </c>
      <c r="D304" s="10" t="s">
        <v>45</v>
      </c>
      <c r="E304" s="10" t="s">
        <v>27</v>
      </c>
      <c r="F304" s="33" t="s">
        <v>302</v>
      </c>
      <c r="G304" s="34">
        <v>0.32</v>
      </c>
      <c r="H304" s="35">
        <v>0.38</v>
      </c>
      <c r="I304" s="21" t="s">
        <v>19</v>
      </c>
      <c r="J304" s="21" t="s">
        <v>19</v>
      </c>
      <c r="K304" s="21" t="s">
        <v>19</v>
      </c>
      <c r="L304" s="21" t="s">
        <v>19</v>
      </c>
      <c r="M304" s="21" t="s">
        <v>19</v>
      </c>
      <c r="N304" s="17">
        <v>246</v>
      </c>
      <c r="O304" s="18">
        <v>0.62</v>
      </c>
    </row>
    <row r="305" spans="1:15" ht="17.399999999999999" x14ac:dyDescent="0.3">
      <c r="A305" s="7">
        <v>299</v>
      </c>
      <c r="B305" s="8" t="str">
        <f>HYPERLINK("https://webapp.icbf.com/v2/app/bull-search/view/1730071779","FR6277")</f>
        <v>FR6277</v>
      </c>
      <c r="C305" s="9" t="s">
        <v>332</v>
      </c>
      <c r="D305" s="10" t="s">
        <v>45</v>
      </c>
      <c r="E305" s="10" t="s">
        <v>17</v>
      </c>
      <c r="F305" s="33" t="s">
        <v>302</v>
      </c>
      <c r="G305" s="34">
        <v>0.32</v>
      </c>
      <c r="H305" s="35">
        <v>0.23</v>
      </c>
      <c r="I305" s="21" t="s">
        <v>19</v>
      </c>
      <c r="J305" s="21" t="s">
        <v>19</v>
      </c>
      <c r="K305" s="21" t="s">
        <v>19</v>
      </c>
      <c r="L305" s="21" t="s">
        <v>19</v>
      </c>
      <c r="M305" s="21" t="s">
        <v>19</v>
      </c>
      <c r="N305" s="17">
        <v>227</v>
      </c>
      <c r="O305" s="18">
        <v>0.56000000000000005</v>
      </c>
    </row>
    <row r="306" spans="1:15" ht="17.399999999999999" x14ac:dyDescent="0.3">
      <c r="A306" s="7">
        <v>300</v>
      </c>
      <c r="B306" s="8" t="str">
        <f>HYPERLINK("https://webapp.icbf.com/v2/app/bull-search/view/1851609675","FR6990")</f>
        <v>FR6990</v>
      </c>
      <c r="C306" s="9" t="s">
        <v>333</v>
      </c>
      <c r="D306" s="10" t="s">
        <v>45</v>
      </c>
      <c r="E306" s="10" t="s">
        <v>62</v>
      </c>
      <c r="F306" s="33" t="s">
        <v>302</v>
      </c>
      <c r="G306" s="34">
        <v>0.32</v>
      </c>
      <c r="H306" s="35">
        <v>0.27</v>
      </c>
      <c r="I306" s="21" t="s">
        <v>19</v>
      </c>
      <c r="J306" s="21" t="s">
        <v>19</v>
      </c>
      <c r="K306" s="21" t="s">
        <v>19</v>
      </c>
      <c r="L306" s="21" t="s">
        <v>19</v>
      </c>
      <c r="M306" s="21" t="s">
        <v>19</v>
      </c>
      <c r="N306" s="17">
        <v>312</v>
      </c>
      <c r="O306" s="18">
        <v>0.53</v>
      </c>
    </row>
    <row r="307" spans="1:15" ht="17.399999999999999" x14ac:dyDescent="0.3">
      <c r="A307" s="7">
        <v>301</v>
      </c>
      <c r="B307" s="8" t="str">
        <f>HYPERLINK("https://webapp.icbf.com/v2/app/bull-search/view/1605555330","FR4746")</f>
        <v>FR4746</v>
      </c>
      <c r="C307" s="9" t="s">
        <v>334</v>
      </c>
      <c r="D307" s="10" t="s">
        <v>45</v>
      </c>
      <c r="E307" s="10" t="s">
        <v>27</v>
      </c>
      <c r="F307" s="33" t="s">
        <v>302</v>
      </c>
      <c r="G307" s="34">
        <v>0.32</v>
      </c>
      <c r="H307" s="35">
        <v>0.35</v>
      </c>
      <c r="I307" s="21" t="s">
        <v>19</v>
      </c>
      <c r="J307" s="21" t="s">
        <v>19</v>
      </c>
      <c r="K307" s="21" t="s">
        <v>19</v>
      </c>
      <c r="L307" s="21" t="s">
        <v>19</v>
      </c>
      <c r="M307" s="21" t="s">
        <v>19</v>
      </c>
      <c r="N307" s="17">
        <v>202</v>
      </c>
      <c r="O307" s="18">
        <v>0.61</v>
      </c>
    </row>
    <row r="308" spans="1:15" ht="17.399999999999999" x14ac:dyDescent="0.3">
      <c r="A308" s="7">
        <v>302</v>
      </c>
      <c r="B308" s="8" t="str">
        <f>HYPERLINK("https://webapp.icbf.com/v2/app/bull-search/view/1865548096","FR6957")</f>
        <v>FR6957</v>
      </c>
      <c r="C308" s="9" t="s">
        <v>335</v>
      </c>
      <c r="D308" s="10" t="s">
        <v>45</v>
      </c>
      <c r="E308" s="10" t="s">
        <v>27</v>
      </c>
      <c r="F308" s="33" t="s">
        <v>302</v>
      </c>
      <c r="G308" s="34">
        <v>0.32</v>
      </c>
      <c r="H308" s="35">
        <v>0.32</v>
      </c>
      <c r="I308" s="21" t="s">
        <v>19</v>
      </c>
      <c r="J308" s="21" t="s">
        <v>19</v>
      </c>
      <c r="K308" s="21" t="s">
        <v>19</v>
      </c>
      <c r="L308" s="21" t="s">
        <v>19</v>
      </c>
      <c r="M308" s="21" t="s">
        <v>19</v>
      </c>
      <c r="N308" s="17">
        <v>312</v>
      </c>
      <c r="O308" s="18">
        <v>0.52</v>
      </c>
    </row>
    <row r="309" spans="1:15" ht="17.399999999999999" x14ac:dyDescent="0.3">
      <c r="A309" s="7">
        <v>303</v>
      </c>
      <c r="B309" s="8" t="str">
        <f>HYPERLINK("https://webapp.icbf.com/v2/app/bull-search/view/1851609576","FR7014")</f>
        <v>FR7014</v>
      </c>
      <c r="C309" s="9" t="s">
        <v>336</v>
      </c>
      <c r="D309" s="10" t="s">
        <v>45</v>
      </c>
      <c r="E309" s="10" t="s">
        <v>27</v>
      </c>
      <c r="F309" s="33" t="s">
        <v>302</v>
      </c>
      <c r="G309" s="34">
        <v>0.32</v>
      </c>
      <c r="H309" s="35">
        <v>0.32</v>
      </c>
      <c r="I309" s="21" t="s">
        <v>19</v>
      </c>
      <c r="J309" s="21" t="s">
        <v>19</v>
      </c>
      <c r="K309" s="21" t="s">
        <v>19</v>
      </c>
      <c r="L309" s="21" t="s">
        <v>19</v>
      </c>
      <c r="M309" s="21" t="s">
        <v>19</v>
      </c>
      <c r="N309" s="17">
        <v>319</v>
      </c>
      <c r="O309" s="18">
        <v>0.53</v>
      </c>
    </row>
    <row r="310" spans="1:15" ht="17.399999999999999" x14ac:dyDescent="0.3">
      <c r="A310" s="7">
        <v>304</v>
      </c>
      <c r="B310" s="8" t="str">
        <f>HYPERLINK("https://webapp.icbf.com/v2/app/bull-search/view/1730045717","FR6070")</f>
        <v>FR6070</v>
      </c>
      <c r="C310" s="9" t="s">
        <v>337</v>
      </c>
      <c r="D310" s="10" t="s">
        <v>45</v>
      </c>
      <c r="E310" s="10" t="s">
        <v>17</v>
      </c>
      <c r="F310" s="33" t="s">
        <v>302</v>
      </c>
      <c r="G310" s="34">
        <v>0.32</v>
      </c>
      <c r="H310" s="35">
        <v>0.28000000000000003</v>
      </c>
      <c r="I310" s="21" t="s">
        <v>19</v>
      </c>
      <c r="J310" s="21" t="s">
        <v>19</v>
      </c>
      <c r="K310" s="21" t="s">
        <v>19</v>
      </c>
      <c r="L310" s="21" t="s">
        <v>19</v>
      </c>
      <c r="M310" s="21" t="s">
        <v>19</v>
      </c>
      <c r="N310" s="17">
        <v>271</v>
      </c>
      <c r="O310" s="18">
        <v>0.54</v>
      </c>
    </row>
    <row r="311" spans="1:15" ht="17.399999999999999" x14ac:dyDescent="0.3">
      <c r="A311" s="7">
        <v>305</v>
      </c>
      <c r="B311" s="8" t="str">
        <f>HYPERLINK("https://webapp.icbf.com/v2/app/bull-search/view/1605897015","FR4767")</f>
        <v>FR4767</v>
      </c>
      <c r="C311" s="9" t="s">
        <v>338</v>
      </c>
      <c r="D311" s="10" t="s">
        <v>45</v>
      </c>
      <c r="E311" s="10" t="s">
        <v>21</v>
      </c>
      <c r="F311" s="33" t="s">
        <v>302</v>
      </c>
      <c r="G311" s="34">
        <v>0.32</v>
      </c>
      <c r="H311" s="35">
        <v>0.39</v>
      </c>
      <c r="I311" s="21" t="s">
        <v>19</v>
      </c>
      <c r="J311" s="21" t="s">
        <v>19</v>
      </c>
      <c r="K311" s="21" t="s">
        <v>19</v>
      </c>
      <c r="L311" s="21" t="s">
        <v>19</v>
      </c>
      <c r="M311" s="21" t="s">
        <v>19</v>
      </c>
      <c r="N311" s="17">
        <v>241</v>
      </c>
      <c r="O311" s="18">
        <v>0.64</v>
      </c>
    </row>
    <row r="312" spans="1:15" ht="17.399999999999999" x14ac:dyDescent="0.3">
      <c r="A312" s="7">
        <v>306</v>
      </c>
      <c r="B312" s="8" t="str">
        <f>HYPERLINK("https://webapp.icbf.com/v2/app/bull-search/view/1210959958","FR5746")</f>
        <v>FR5746</v>
      </c>
      <c r="C312" s="9" t="s">
        <v>339</v>
      </c>
      <c r="D312" s="10" t="s">
        <v>45</v>
      </c>
      <c r="E312" s="10" t="s">
        <v>21</v>
      </c>
      <c r="F312" s="33" t="s">
        <v>302</v>
      </c>
      <c r="G312" s="34">
        <v>0.32</v>
      </c>
      <c r="H312" s="35">
        <v>0.38</v>
      </c>
      <c r="I312" s="21" t="s">
        <v>19</v>
      </c>
      <c r="J312" s="21" t="s">
        <v>19</v>
      </c>
      <c r="K312" s="21" t="s">
        <v>19</v>
      </c>
      <c r="L312" s="21" t="s">
        <v>19</v>
      </c>
      <c r="M312" s="21" t="s">
        <v>19</v>
      </c>
      <c r="N312" s="17">
        <v>246</v>
      </c>
      <c r="O312" s="18">
        <v>0.74</v>
      </c>
    </row>
    <row r="313" spans="1:15" ht="17.399999999999999" x14ac:dyDescent="0.3">
      <c r="A313" s="7">
        <v>307</v>
      </c>
      <c r="B313" s="8" t="str">
        <f>HYPERLINK("https://webapp.icbf.com/v2/app/bull-search/view/1870231234","FR7101")</f>
        <v>FR7101</v>
      </c>
      <c r="C313" s="9" t="s">
        <v>340</v>
      </c>
      <c r="D313" s="10" t="s">
        <v>45</v>
      </c>
      <c r="E313" s="10" t="s">
        <v>21</v>
      </c>
      <c r="F313" s="33" t="s">
        <v>302</v>
      </c>
      <c r="G313" s="34">
        <v>0.32</v>
      </c>
      <c r="H313" s="35">
        <v>0.28999999999999998</v>
      </c>
      <c r="I313" s="21" t="s">
        <v>19</v>
      </c>
      <c r="J313" s="21" t="s">
        <v>19</v>
      </c>
      <c r="K313" s="21" t="s">
        <v>19</v>
      </c>
      <c r="L313" s="21" t="s">
        <v>19</v>
      </c>
      <c r="M313" s="21" t="s">
        <v>19</v>
      </c>
      <c r="N313" s="17">
        <v>313</v>
      </c>
      <c r="O313" s="18">
        <v>0.52</v>
      </c>
    </row>
    <row r="314" spans="1:15" ht="17.399999999999999" x14ac:dyDescent="0.3">
      <c r="A314" s="7">
        <v>308</v>
      </c>
      <c r="B314" s="8" t="str">
        <f>HYPERLINK("https://webapp.icbf.com/v2/app/bull-search/view/1851604351","FR7170")</f>
        <v>FR7170</v>
      </c>
      <c r="C314" s="9" t="s">
        <v>341</v>
      </c>
      <c r="D314" s="10" t="s">
        <v>45</v>
      </c>
      <c r="E314" s="10" t="s">
        <v>27</v>
      </c>
      <c r="F314" s="33" t="s">
        <v>302</v>
      </c>
      <c r="G314" s="34">
        <v>0.32</v>
      </c>
      <c r="H314" s="35">
        <v>0.26</v>
      </c>
      <c r="I314" s="21" t="s">
        <v>19</v>
      </c>
      <c r="J314" s="21" t="s">
        <v>19</v>
      </c>
      <c r="K314" s="21" t="s">
        <v>19</v>
      </c>
      <c r="L314" s="21" t="s">
        <v>19</v>
      </c>
      <c r="M314" s="21" t="s">
        <v>19</v>
      </c>
      <c r="N314" s="17">
        <v>312</v>
      </c>
      <c r="O314" s="18">
        <v>0.51</v>
      </c>
    </row>
    <row r="315" spans="1:15" ht="17.399999999999999" x14ac:dyDescent="0.3">
      <c r="A315" s="7">
        <v>309</v>
      </c>
      <c r="B315" s="8" t="str">
        <f>HYPERLINK("https://webapp.icbf.com/v2/app/bull-search/view/1573391479","FR4699")</f>
        <v>FR4699</v>
      </c>
      <c r="C315" s="9" t="s">
        <v>342</v>
      </c>
      <c r="D315" s="10" t="s">
        <v>45</v>
      </c>
      <c r="E315" s="10" t="s">
        <v>17</v>
      </c>
      <c r="F315" s="33" t="s">
        <v>302</v>
      </c>
      <c r="G315" s="34">
        <v>0.32</v>
      </c>
      <c r="H315" s="35">
        <v>0.35</v>
      </c>
      <c r="I315" s="21" t="s">
        <v>19</v>
      </c>
      <c r="J315" s="21" t="s">
        <v>19</v>
      </c>
      <c r="K315" s="21" t="s">
        <v>19</v>
      </c>
      <c r="L315" s="21" t="s">
        <v>19</v>
      </c>
      <c r="M315" s="21" t="s">
        <v>19</v>
      </c>
      <c r="N315" s="17">
        <v>235</v>
      </c>
      <c r="O315" s="18">
        <v>0.59</v>
      </c>
    </row>
    <row r="316" spans="1:15" ht="17.399999999999999" x14ac:dyDescent="0.3">
      <c r="A316" s="7">
        <v>310</v>
      </c>
      <c r="B316" s="8" t="str">
        <f>HYPERLINK("https://webapp.icbf.com/v2/app/bull-search/view/1611543696","FR5124")</f>
        <v>FR5124</v>
      </c>
      <c r="C316" s="9" t="s">
        <v>343</v>
      </c>
      <c r="D316" s="10" t="s">
        <v>45</v>
      </c>
      <c r="E316" s="10" t="s">
        <v>17</v>
      </c>
      <c r="F316" s="33" t="s">
        <v>302</v>
      </c>
      <c r="G316" s="34">
        <v>0.32</v>
      </c>
      <c r="H316" s="35">
        <v>0.39</v>
      </c>
      <c r="I316" s="21" t="s">
        <v>19</v>
      </c>
      <c r="J316" s="21" t="s">
        <v>19</v>
      </c>
      <c r="K316" s="21" t="s">
        <v>19</v>
      </c>
      <c r="L316" s="21" t="s">
        <v>19</v>
      </c>
      <c r="M316" s="21" t="s">
        <v>19</v>
      </c>
      <c r="N316" s="17">
        <v>266</v>
      </c>
      <c r="O316" s="18">
        <v>0.63</v>
      </c>
    </row>
    <row r="317" spans="1:15" ht="17.399999999999999" x14ac:dyDescent="0.3">
      <c r="A317" s="7">
        <v>311</v>
      </c>
      <c r="B317" s="8" t="str">
        <f>HYPERLINK("https://webapp.icbf.com/v2/app/bull-search/view/1248016644","FR2424")</f>
        <v>FR2424</v>
      </c>
      <c r="C317" s="9" t="s">
        <v>344</v>
      </c>
      <c r="D317" s="10" t="s">
        <v>45</v>
      </c>
      <c r="E317" s="10" t="s">
        <v>17</v>
      </c>
      <c r="F317" s="33" t="s">
        <v>302</v>
      </c>
      <c r="G317" s="34">
        <v>0.32</v>
      </c>
      <c r="H317" s="35">
        <v>0.4</v>
      </c>
      <c r="I317" s="21">
        <v>14</v>
      </c>
      <c r="J317" s="21">
        <v>27</v>
      </c>
      <c r="K317" s="21">
        <v>223</v>
      </c>
      <c r="L317" s="22">
        <v>7.3999999999999996E-2</v>
      </c>
      <c r="M317" s="22">
        <v>5.3999999999999999E-2</v>
      </c>
      <c r="N317" s="17">
        <v>248</v>
      </c>
      <c r="O317" s="18">
        <v>0.88</v>
      </c>
    </row>
    <row r="318" spans="1:15" ht="17.399999999999999" x14ac:dyDescent="0.3">
      <c r="A318" s="7">
        <v>312</v>
      </c>
      <c r="B318" s="8" t="str">
        <f>HYPERLINK("https://webapp.icbf.com/v2/app/bull-search/view/1389447144","FR4220")</f>
        <v>FR4220</v>
      </c>
      <c r="C318" s="9" t="s">
        <v>345</v>
      </c>
      <c r="D318" s="10" t="s">
        <v>45</v>
      </c>
      <c r="E318" s="10" t="s">
        <v>145</v>
      </c>
      <c r="F318" s="33" t="s">
        <v>302</v>
      </c>
      <c r="G318" s="34">
        <v>0.32</v>
      </c>
      <c r="H318" s="35">
        <v>0.35</v>
      </c>
      <c r="I318" s="21">
        <v>10</v>
      </c>
      <c r="J318" s="21">
        <v>15</v>
      </c>
      <c r="K318" s="21">
        <v>243</v>
      </c>
      <c r="L318" s="22">
        <v>0</v>
      </c>
      <c r="M318" s="22">
        <v>4.9000000000000002E-2</v>
      </c>
      <c r="N318" s="17">
        <v>216</v>
      </c>
      <c r="O318" s="18">
        <v>0.77</v>
      </c>
    </row>
    <row r="319" spans="1:15" ht="17.399999999999999" x14ac:dyDescent="0.3">
      <c r="A319" s="7">
        <v>313</v>
      </c>
      <c r="B319" s="8" t="str">
        <f>HYPERLINK("https://webapp.icbf.com/v2/app/bull-search/view/1351530326","FR4263")</f>
        <v>FR4263</v>
      </c>
      <c r="C319" s="9" t="s">
        <v>346</v>
      </c>
      <c r="D319" s="10" t="s">
        <v>23</v>
      </c>
      <c r="E319" s="10" t="s">
        <v>17</v>
      </c>
      <c r="F319" s="33" t="s">
        <v>302</v>
      </c>
      <c r="G319" s="34">
        <v>0.32</v>
      </c>
      <c r="H319" s="35">
        <v>0.33</v>
      </c>
      <c r="I319" s="21">
        <v>6</v>
      </c>
      <c r="J319" s="21">
        <v>10</v>
      </c>
      <c r="K319" s="21">
        <v>97</v>
      </c>
      <c r="L319" s="23">
        <v>0.2</v>
      </c>
      <c r="M319" s="22">
        <v>6.2E-2</v>
      </c>
      <c r="N319" s="17">
        <v>224</v>
      </c>
      <c r="O319" s="18">
        <v>0.75</v>
      </c>
    </row>
    <row r="320" spans="1:15" ht="17.399999999999999" x14ac:dyDescent="0.3">
      <c r="A320" s="7">
        <v>314</v>
      </c>
      <c r="B320" s="8" t="str">
        <f>HYPERLINK("https://webapp.icbf.com/v2/app/bull-search/view/1729223216","FR5848")</f>
        <v>FR5848</v>
      </c>
      <c r="C320" s="9" t="s">
        <v>347</v>
      </c>
      <c r="D320" s="10" t="s">
        <v>45</v>
      </c>
      <c r="E320" s="10" t="s">
        <v>21</v>
      </c>
      <c r="F320" s="36" t="s">
        <v>348</v>
      </c>
      <c r="G320" s="37">
        <v>0.32</v>
      </c>
      <c r="H320" s="38">
        <v>0.35</v>
      </c>
      <c r="I320" s="21" t="s">
        <v>19</v>
      </c>
      <c r="J320" s="21" t="s">
        <v>19</v>
      </c>
      <c r="K320" s="21" t="s">
        <v>19</v>
      </c>
      <c r="L320" s="21" t="s">
        <v>19</v>
      </c>
      <c r="M320" s="21" t="s">
        <v>19</v>
      </c>
      <c r="N320" s="17">
        <v>287</v>
      </c>
      <c r="O320" s="18">
        <v>0.61</v>
      </c>
    </row>
    <row r="321" spans="1:15" ht="17.399999999999999" x14ac:dyDescent="0.3">
      <c r="A321" s="7">
        <v>315</v>
      </c>
      <c r="B321" s="8" t="str">
        <f>HYPERLINK("https://webapp.icbf.com/v2/app/bull-search/view/1476102532","FR4432")</f>
        <v>FR4432</v>
      </c>
      <c r="C321" s="9" t="s">
        <v>349</v>
      </c>
      <c r="D321" s="10" t="s">
        <v>45</v>
      </c>
      <c r="E321" s="10" t="s">
        <v>21</v>
      </c>
      <c r="F321" s="36" t="s">
        <v>348</v>
      </c>
      <c r="G321" s="37">
        <v>0.32</v>
      </c>
      <c r="H321" s="38">
        <v>0.35</v>
      </c>
      <c r="I321" s="21">
        <v>5</v>
      </c>
      <c r="J321" s="21">
        <v>6</v>
      </c>
      <c r="K321" s="21">
        <v>58</v>
      </c>
      <c r="L321" s="23">
        <v>0.17</v>
      </c>
      <c r="M321" s="23">
        <v>0.14000000000000001</v>
      </c>
      <c r="N321" s="17">
        <v>230</v>
      </c>
      <c r="O321" s="18">
        <v>0.64</v>
      </c>
    </row>
    <row r="322" spans="1:15" ht="17.399999999999999" x14ac:dyDescent="0.3">
      <c r="A322" s="7">
        <v>316</v>
      </c>
      <c r="B322" s="8" t="str">
        <f>HYPERLINK("https://webapp.icbf.com/v2/app/bull-search/view/1600374426","FR4788")</f>
        <v>FR4788</v>
      </c>
      <c r="C322" s="9" t="s">
        <v>350</v>
      </c>
      <c r="D322" s="10" t="s">
        <v>45</v>
      </c>
      <c r="E322" s="10" t="s">
        <v>21</v>
      </c>
      <c r="F322" s="36" t="s">
        <v>348</v>
      </c>
      <c r="G322" s="37">
        <v>0.32</v>
      </c>
      <c r="H322" s="38">
        <v>0.35</v>
      </c>
      <c r="I322" s="21" t="s">
        <v>19</v>
      </c>
      <c r="J322" s="21" t="s">
        <v>19</v>
      </c>
      <c r="K322" s="21" t="s">
        <v>19</v>
      </c>
      <c r="L322" s="21" t="s">
        <v>19</v>
      </c>
      <c r="M322" s="21" t="s">
        <v>19</v>
      </c>
      <c r="N322" s="17">
        <v>278</v>
      </c>
      <c r="O322" s="18">
        <v>0.63</v>
      </c>
    </row>
    <row r="323" spans="1:15" ht="17.399999999999999" x14ac:dyDescent="0.3">
      <c r="A323" s="7">
        <v>317</v>
      </c>
      <c r="B323" s="8" t="str">
        <f>HYPERLINK("https://webapp.icbf.com/v2/app/bull-search/view/1862077614","FR6649")</f>
        <v>FR6649</v>
      </c>
      <c r="C323" s="9" t="s">
        <v>351</v>
      </c>
      <c r="D323" s="10" t="s">
        <v>45</v>
      </c>
      <c r="E323" s="10" t="s">
        <v>27</v>
      </c>
      <c r="F323" s="36" t="s">
        <v>348</v>
      </c>
      <c r="G323" s="37">
        <v>0.32</v>
      </c>
      <c r="H323" s="38">
        <v>0.31</v>
      </c>
      <c r="I323" s="21" t="s">
        <v>19</v>
      </c>
      <c r="J323" s="21" t="s">
        <v>19</v>
      </c>
      <c r="K323" s="21" t="s">
        <v>19</v>
      </c>
      <c r="L323" s="21" t="s">
        <v>19</v>
      </c>
      <c r="M323" s="21" t="s">
        <v>19</v>
      </c>
      <c r="N323" s="17">
        <v>333</v>
      </c>
      <c r="O323" s="18">
        <v>0.53</v>
      </c>
    </row>
    <row r="324" spans="1:15" ht="17.399999999999999" x14ac:dyDescent="0.3">
      <c r="A324" s="7">
        <v>318</v>
      </c>
      <c r="B324" s="8" t="str">
        <f>HYPERLINK("https://webapp.icbf.com/v2/app/bull-search/view/1853973398","FR6823")</f>
        <v>FR6823</v>
      </c>
      <c r="C324" s="9" t="s">
        <v>352</v>
      </c>
      <c r="D324" s="10" t="s">
        <v>45</v>
      </c>
      <c r="E324" s="10" t="s">
        <v>17</v>
      </c>
      <c r="F324" s="36" t="s">
        <v>348</v>
      </c>
      <c r="G324" s="37">
        <v>0.32</v>
      </c>
      <c r="H324" s="38">
        <v>0.27</v>
      </c>
      <c r="I324" s="21" t="s">
        <v>19</v>
      </c>
      <c r="J324" s="21" t="s">
        <v>19</v>
      </c>
      <c r="K324" s="21" t="s">
        <v>19</v>
      </c>
      <c r="L324" s="21" t="s">
        <v>19</v>
      </c>
      <c r="M324" s="21" t="s">
        <v>19</v>
      </c>
      <c r="N324" s="17">
        <v>270</v>
      </c>
      <c r="O324" s="18">
        <v>0.59</v>
      </c>
    </row>
    <row r="325" spans="1:15" ht="17.399999999999999" x14ac:dyDescent="0.3">
      <c r="A325" s="7">
        <v>319</v>
      </c>
      <c r="B325" s="8" t="str">
        <f>HYPERLINK("https://webapp.icbf.com/v2/app/bull-search/view/1726418841","FR5908")</f>
        <v>FR5908</v>
      </c>
      <c r="C325" s="9" t="s">
        <v>353</v>
      </c>
      <c r="D325" s="10" t="s">
        <v>45</v>
      </c>
      <c r="E325" s="10" t="s">
        <v>27</v>
      </c>
      <c r="F325" s="36" t="s">
        <v>348</v>
      </c>
      <c r="G325" s="37">
        <v>0.32</v>
      </c>
      <c r="H325" s="38">
        <v>0.36</v>
      </c>
      <c r="I325" s="21" t="s">
        <v>19</v>
      </c>
      <c r="J325" s="21" t="s">
        <v>19</v>
      </c>
      <c r="K325" s="21" t="s">
        <v>19</v>
      </c>
      <c r="L325" s="21" t="s">
        <v>19</v>
      </c>
      <c r="M325" s="21" t="s">
        <v>19</v>
      </c>
      <c r="N325" s="17">
        <v>266</v>
      </c>
      <c r="O325" s="18">
        <v>0.61</v>
      </c>
    </row>
    <row r="326" spans="1:15" ht="17.399999999999999" x14ac:dyDescent="0.3">
      <c r="A326" s="7">
        <v>320</v>
      </c>
      <c r="B326" s="8" t="str">
        <f>HYPERLINK("https://webapp.icbf.com/v2/app/bull-search/view/1473000861","FR4339")</f>
        <v>FR4339</v>
      </c>
      <c r="C326" s="9" t="s">
        <v>354</v>
      </c>
      <c r="D326" s="10" t="s">
        <v>45</v>
      </c>
      <c r="E326" s="10" t="s">
        <v>27</v>
      </c>
      <c r="F326" s="36" t="s">
        <v>348</v>
      </c>
      <c r="G326" s="37">
        <v>0.32</v>
      </c>
      <c r="H326" s="38">
        <v>0.42</v>
      </c>
      <c r="I326" s="21">
        <v>2</v>
      </c>
      <c r="J326" s="21">
        <v>2</v>
      </c>
      <c r="K326" s="21">
        <v>41</v>
      </c>
      <c r="L326" s="22">
        <v>0</v>
      </c>
      <c r="M326" s="22">
        <v>2.4E-2</v>
      </c>
      <c r="N326" s="17">
        <v>234</v>
      </c>
      <c r="O326" s="18">
        <v>0.67</v>
      </c>
    </row>
    <row r="327" spans="1:15" ht="17.399999999999999" x14ac:dyDescent="0.3">
      <c r="A327" s="7">
        <v>321</v>
      </c>
      <c r="B327" s="8" t="str">
        <f>HYPERLINK("https://webapp.icbf.com/v2/app/bull-search/view/1732879172","FR6247")</f>
        <v>FR6247</v>
      </c>
      <c r="C327" s="9" t="s">
        <v>355</v>
      </c>
      <c r="D327" s="10" t="s">
        <v>45</v>
      </c>
      <c r="E327" s="10" t="s">
        <v>21</v>
      </c>
      <c r="F327" s="36" t="s">
        <v>348</v>
      </c>
      <c r="G327" s="37">
        <v>0.32</v>
      </c>
      <c r="H327" s="38">
        <v>0.28999999999999998</v>
      </c>
      <c r="I327" s="21" t="s">
        <v>19</v>
      </c>
      <c r="J327" s="21" t="s">
        <v>19</v>
      </c>
      <c r="K327" s="21" t="s">
        <v>19</v>
      </c>
      <c r="L327" s="21" t="s">
        <v>19</v>
      </c>
      <c r="M327" s="21" t="s">
        <v>19</v>
      </c>
      <c r="N327" s="17">
        <v>263</v>
      </c>
      <c r="O327" s="18">
        <v>0.52</v>
      </c>
    </row>
    <row r="328" spans="1:15" ht="17.399999999999999" x14ac:dyDescent="0.3">
      <c r="A328" s="7">
        <v>322</v>
      </c>
      <c r="B328" s="8" t="str">
        <f>HYPERLINK("https://webapp.icbf.com/v2/app/bull-search/view/1863921824","FR6475")</f>
        <v>FR6475</v>
      </c>
      <c r="C328" s="9" t="s">
        <v>356</v>
      </c>
      <c r="D328" s="10" t="s">
        <v>45</v>
      </c>
      <c r="E328" s="10" t="s">
        <v>21</v>
      </c>
      <c r="F328" s="36" t="s">
        <v>348</v>
      </c>
      <c r="G328" s="37">
        <v>0.32</v>
      </c>
      <c r="H328" s="38">
        <v>0.31</v>
      </c>
      <c r="I328" s="21" t="s">
        <v>19</v>
      </c>
      <c r="J328" s="21" t="s">
        <v>19</v>
      </c>
      <c r="K328" s="21" t="s">
        <v>19</v>
      </c>
      <c r="L328" s="21" t="s">
        <v>19</v>
      </c>
      <c r="M328" s="21" t="s">
        <v>19</v>
      </c>
      <c r="N328" s="17">
        <v>323</v>
      </c>
      <c r="O328" s="18">
        <v>0.51</v>
      </c>
    </row>
    <row r="329" spans="1:15" ht="17.399999999999999" x14ac:dyDescent="0.3">
      <c r="A329" s="7">
        <v>323</v>
      </c>
      <c r="B329" s="8" t="str">
        <f>HYPERLINK("https://webapp.icbf.com/v2/app/bull-search/view/1868729457","FR6637")</f>
        <v>FR6637</v>
      </c>
      <c r="C329" s="9" t="s">
        <v>357</v>
      </c>
      <c r="D329" s="10" t="s">
        <v>45</v>
      </c>
      <c r="E329" s="10" t="s">
        <v>27</v>
      </c>
      <c r="F329" s="36" t="s">
        <v>348</v>
      </c>
      <c r="G329" s="37">
        <v>0.32</v>
      </c>
      <c r="H329" s="38">
        <v>0.31</v>
      </c>
      <c r="I329" s="21" t="s">
        <v>19</v>
      </c>
      <c r="J329" s="21" t="s">
        <v>19</v>
      </c>
      <c r="K329" s="21" t="s">
        <v>19</v>
      </c>
      <c r="L329" s="21" t="s">
        <v>19</v>
      </c>
      <c r="M329" s="21" t="s">
        <v>19</v>
      </c>
      <c r="N329" s="17">
        <v>290</v>
      </c>
      <c r="O329" s="18">
        <v>0.5</v>
      </c>
    </row>
    <row r="330" spans="1:15" ht="17.399999999999999" x14ac:dyDescent="0.3">
      <c r="A330" s="7">
        <v>324</v>
      </c>
      <c r="B330" s="8" t="str">
        <f>HYPERLINK("https://webapp.icbf.com/v2/app/bull-search/view/910809123","AKK   ")</f>
        <v xml:space="preserve">AKK   </v>
      </c>
      <c r="C330" s="9" t="s">
        <v>358</v>
      </c>
      <c r="D330" s="10" t="s">
        <v>45</v>
      </c>
      <c r="E330" s="10" t="s">
        <v>17</v>
      </c>
      <c r="F330" s="36" t="s">
        <v>348</v>
      </c>
      <c r="G330" s="37">
        <v>0.32</v>
      </c>
      <c r="H330" s="38">
        <v>0.45</v>
      </c>
      <c r="I330" s="21">
        <v>89</v>
      </c>
      <c r="J330" s="21">
        <v>154</v>
      </c>
      <c r="K330" s="21">
        <v>1579</v>
      </c>
      <c r="L330" s="22">
        <v>9.7000000000000003E-2</v>
      </c>
      <c r="M330" s="22">
        <v>0.08</v>
      </c>
      <c r="N330" s="17">
        <v>200</v>
      </c>
      <c r="O330" s="18">
        <v>0.94</v>
      </c>
    </row>
    <row r="331" spans="1:15" ht="17.399999999999999" x14ac:dyDescent="0.3">
      <c r="A331" s="7">
        <v>325</v>
      </c>
      <c r="B331" s="8" t="str">
        <f>HYPERLINK("https://webapp.icbf.com/v2/app/bull-search/view/1250053977","FR2337")</f>
        <v>FR2337</v>
      </c>
      <c r="C331" s="9" t="s">
        <v>359</v>
      </c>
      <c r="D331" s="10" t="s">
        <v>45</v>
      </c>
      <c r="E331" s="10" t="s">
        <v>62</v>
      </c>
      <c r="F331" s="36" t="s">
        <v>348</v>
      </c>
      <c r="G331" s="37">
        <v>0.32</v>
      </c>
      <c r="H331" s="38">
        <v>0.37</v>
      </c>
      <c r="I331" s="21">
        <v>2</v>
      </c>
      <c r="J331" s="21">
        <v>3</v>
      </c>
      <c r="K331" s="21">
        <v>9</v>
      </c>
      <c r="L331" s="22">
        <v>0</v>
      </c>
      <c r="M331" s="23">
        <v>0.11</v>
      </c>
      <c r="N331" s="17">
        <v>225</v>
      </c>
      <c r="O331" s="18">
        <v>0.86</v>
      </c>
    </row>
    <row r="332" spans="1:15" ht="17.399999999999999" x14ac:dyDescent="0.3">
      <c r="A332" s="7">
        <v>326</v>
      </c>
      <c r="B332" s="8" t="str">
        <f>HYPERLINK("https://webapp.icbf.com/v2/app/bull-search/view/1474301652","FR4553")</f>
        <v>FR4553</v>
      </c>
      <c r="C332" s="9" t="s">
        <v>360</v>
      </c>
      <c r="D332" s="10" t="s">
        <v>45</v>
      </c>
      <c r="E332" s="10" t="s">
        <v>17</v>
      </c>
      <c r="F332" s="36" t="s">
        <v>348</v>
      </c>
      <c r="G332" s="37">
        <v>0.32</v>
      </c>
      <c r="H332" s="38">
        <v>0.35</v>
      </c>
      <c r="I332" s="21" t="s">
        <v>19</v>
      </c>
      <c r="J332" s="21" t="s">
        <v>19</v>
      </c>
      <c r="K332" s="21" t="s">
        <v>19</v>
      </c>
      <c r="L332" s="21" t="s">
        <v>19</v>
      </c>
      <c r="M332" s="21" t="s">
        <v>19</v>
      </c>
      <c r="N332" s="17">
        <v>243</v>
      </c>
      <c r="O332" s="18">
        <v>0.66</v>
      </c>
    </row>
    <row r="333" spans="1:15" ht="17.399999999999999" x14ac:dyDescent="0.3">
      <c r="A333" s="7">
        <v>327</v>
      </c>
      <c r="B333" s="8" t="str">
        <f>HYPERLINK("https://webapp.icbf.com/v2/app/bull-search/view/1495300677","FR4573")</f>
        <v>FR4573</v>
      </c>
      <c r="C333" s="9" t="s">
        <v>361</v>
      </c>
      <c r="D333" s="10" t="s">
        <v>45</v>
      </c>
      <c r="E333" s="10" t="s">
        <v>17</v>
      </c>
      <c r="F333" s="36" t="s">
        <v>348</v>
      </c>
      <c r="G333" s="37">
        <v>0.32</v>
      </c>
      <c r="H333" s="38">
        <v>0.36</v>
      </c>
      <c r="I333" s="21">
        <v>1</v>
      </c>
      <c r="J333" s="21">
        <v>1</v>
      </c>
      <c r="K333" s="21">
        <v>107</v>
      </c>
      <c r="L333" s="22">
        <v>0</v>
      </c>
      <c r="M333" s="21" t="s">
        <v>19</v>
      </c>
      <c r="N333" s="17">
        <v>273</v>
      </c>
      <c r="O333" s="18">
        <v>0.65</v>
      </c>
    </row>
    <row r="334" spans="1:15" ht="17.399999999999999" x14ac:dyDescent="0.3">
      <c r="A334" s="7">
        <v>328</v>
      </c>
      <c r="B334" s="8" t="str">
        <f>HYPERLINK("https://webapp.icbf.com/v2/app/bull-search/view/1605895396","FR4763")</f>
        <v>FR4763</v>
      </c>
      <c r="C334" s="9" t="s">
        <v>362</v>
      </c>
      <c r="D334" s="10" t="s">
        <v>45</v>
      </c>
      <c r="E334" s="10" t="s">
        <v>21</v>
      </c>
      <c r="F334" s="36" t="s">
        <v>348</v>
      </c>
      <c r="G334" s="37">
        <v>0.32</v>
      </c>
      <c r="H334" s="38">
        <v>0.4</v>
      </c>
      <c r="I334" s="21" t="s">
        <v>19</v>
      </c>
      <c r="J334" s="21" t="s">
        <v>19</v>
      </c>
      <c r="K334" s="21" t="s">
        <v>19</v>
      </c>
      <c r="L334" s="21" t="s">
        <v>19</v>
      </c>
      <c r="M334" s="21" t="s">
        <v>19</v>
      </c>
      <c r="N334" s="17">
        <v>236</v>
      </c>
      <c r="O334" s="18">
        <v>0.64</v>
      </c>
    </row>
    <row r="335" spans="1:15" ht="17.399999999999999" x14ac:dyDescent="0.3">
      <c r="A335" s="7">
        <v>329</v>
      </c>
      <c r="B335" s="8" t="str">
        <f>HYPERLINK("https://webapp.icbf.com/v2/app/bull-search/view/1276132160","FR5902")</f>
        <v>FR5902</v>
      </c>
      <c r="C335" s="9" t="s">
        <v>363</v>
      </c>
      <c r="D335" s="10" t="s">
        <v>45</v>
      </c>
      <c r="E335" s="10" t="s">
        <v>17</v>
      </c>
      <c r="F335" s="36" t="s">
        <v>348</v>
      </c>
      <c r="G335" s="37">
        <v>0.32</v>
      </c>
      <c r="H335" s="38">
        <v>0.22</v>
      </c>
      <c r="I335" s="21" t="s">
        <v>19</v>
      </c>
      <c r="J335" s="21" t="s">
        <v>19</v>
      </c>
      <c r="K335" s="21" t="s">
        <v>19</v>
      </c>
      <c r="L335" s="21" t="s">
        <v>19</v>
      </c>
      <c r="M335" s="21" t="s">
        <v>19</v>
      </c>
      <c r="N335" s="17">
        <v>233</v>
      </c>
      <c r="O335" s="18">
        <v>0.6</v>
      </c>
    </row>
    <row r="336" spans="1:15" ht="17.399999999999999" x14ac:dyDescent="0.3">
      <c r="A336" s="7">
        <v>330</v>
      </c>
      <c r="B336" s="8" t="str">
        <f>HYPERLINK("https://webapp.icbf.com/v2/app/bull-search/view/1248027646","FR2239")</f>
        <v>FR2239</v>
      </c>
      <c r="C336" s="9" t="s">
        <v>364</v>
      </c>
      <c r="D336" s="10" t="s">
        <v>45</v>
      </c>
      <c r="E336" s="10" t="s">
        <v>27</v>
      </c>
      <c r="F336" s="36" t="s">
        <v>348</v>
      </c>
      <c r="G336" s="37">
        <v>0.32</v>
      </c>
      <c r="H336" s="38">
        <v>0.7</v>
      </c>
      <c r="I336" s="21">
        <v>345</v>
      </c>
      <c r="J336" s="21">
        <v>661</v>
      </c>
      <c r="K336" s="21">
        <v>5951</v>
      </c>
      <c r="L336" s="22">
        <v>9.1999999999999998E-2</v>
      </c>
      <c r="M336" s="22">
        <v>6.2E-2</v>
      </c>
      <c r="N336" s="17">
        <v>205</v>
      </c>
      <c r="O336" s="18">
        <v>0.94</v>
      </c>
    </row>
    <row r="337" spans="1:15" ht="17.399999999999999" x14ac:dyDescent="0.3">
      <c r="A337" s="7">
        <v>331</v>
      </c>
      <c r="B337" s="8" t="str">
        <f>HYPERLINK("https://webapp.icbf.com/v2/app/bull-search/view/1605161219","FR4770")</f>
        <v>FR4770</v>
      </c>
      <c r="C337" s="9" t="s">
        <v>365</v>
      </c>
      <c r="D337" s="10" t="s">
        <v>45</v>
      </c>
      <c r="E337" s="10" t="s">
        <v>21</v>
      </c>
      <c r="F337" s="36" t="s">
        <v>348</v>
      </c>
      <c r="G337" s="37">
        <v>0.32</v>
      </c>
      <c r="H337" s="38">
        <v>0.42</v>
      </c>
      <c r="I337" s="21" t="s">
        <v>19</v>
      </c>
      <c r="J337" s="21" t="s">
        <v>19</v>
      </c>
      <c r="K337" s="21" t="s">
        <v>19</v>
      </c>
      <c r="L337" s="21" t="s">
        <v>19</v>
      </c>
      <c r="M337" s="21" t="s">
        <v>19</v>
      </c>
      <c r="N337" s="17">
        <v>205</v>
      </c>
      <c r="O337" s="18">
        <v>0.65</v>
      </c>
    </row>
    <row r="338" spans="1:15" ht="17.399999999999999" x14ac:dyDescent="0.3">
      <c r="A338" s="7">
        <v>332</v>
      </c>
      <c r="B338" s="8" t="str">
        <f>HYPERLINK("https://webapp.icbf.com/v2/app/bull-search/view/1276123206","FR5926")</f>
        <v>FR5926</v>
      </c>
      <c r="C338" s="9" t="s">
        <v>366</v>
      </c>
      <c r="D338" s="10" t="s">
        <v>45</v>
      </c>
      <c r="E338" s="10" t="s">
        <v>17</v>
      </c>
      <c r="F338" s="36" t="s">
        <v>348</v>
      </c>
      <c r="G338" s="37">
        <v>0.32</v>
      </c>
      <c r="H338" s="38">
        <v>0.21</v>
      </c>
      <c r="I338" s="21" t="s">
        <v>19</v>
      </c>
      <c r="J338" s="21" t="s">
        <v>19</v>
      </c>
      <c r="K338" s="21" t="s">
        <v>19</v>
      </c>
      <c r="L338" s="21" t="s">
        <v>19</v>
      </c>
      <c r="M338" s="21" t="s">
        <v>19</v>
      </c>
      <c r="N338" s="17">
        <v>216</v>
      </c>
      <c r="O338" s="18">
        <v>0.67</v>
      </c>
    </row>
    <row r="339" spans="1:15" ht="17.399999999999999" x14ac:dyDescent="0.3">
      <c r="A339" s="7">
        <v>333</v>
      </c>
      <c r="B339" s="8" t="str">
        <f>HYPERLINK("https://webapp.icbf.com/v2/app/bull-search/view/1731253444","FR6184")</f>
        <v>FR6184</v>
      </c>
      <c r="C339" s="9" t="s">
        <v>367</v>
      </c>
      <c r="D339" s="10" t="s">
        <v>45</v>
      </c>
      <c r="E339" s="10" t="s">
        <v>17</v>
      </c>
      <c r="F339" s="36" t="s">
        <v>348</v>
      </c>
      <c r="G339" s="37">
        <v>0.32</v>
      </c>
      <c r="H339" s="38">
        <v>0.25</v>
      </c>
      <c r="I339" s="21" t="s">
        <v>19</v>
      </c>
      <c r="J339" s="21" t="s">
        <v>19</v>
      </c>
      <c r="K339" s="21" t="s">
        <v>19</v>
      </c>
      <c r="L339" s="21" t="s">
        <v>19</v>
      </c>
      <c r="M339" s="21" t="s">
        <v>19</v>
      </c>
      <c r="N339" s="17">
        <v>246</v>
      </c>
      <c r="O339" s="18">
        <v>0.53</v>
      </c>
    </row>
    <row r="340" spans="1:15" ht="17.399999999999999" x14ac:dyDescent="0.3">
      <c r="A340" s="7">
        <v>334</v>
      </c>
      <c r="B340" s="8" t="str">
        <f>HYPERLINK("https://webapp.icbf.com/v2/app/bull-search/view/1292341275","FR2400")</f>
        <v>FR2400</v>
      </c>
      <c r="C340" s="9" t="s">
        <v>368</v>
      </c>
      <c r="D340" s="10" t="s">
        <v>45</v>
      </c>
      <c r="E340" s="10" t="s">
        <v>145</v>
      </c>
      <c r="F340" s="36" t="s">
        <v>348</v>
      </c>
      <c r="G340" s="37">
        <v>0.32</v>
      </c>
      <c r="H340" s="38">
        <v>0.3</v>
      </c>
      <c r="I340" s="21">
        <v>3</v>
      </c>
      <c r="J340" s="21">
        <v>4</v>
      </c>
      <c r="K340" s="21">
        <v>98</v>
      </c>
      <c r="L340" s="22">
        <v>0</v>
      </c>
      <c r="M340" s="22">
        <v>0.02</v>
      </c>
      <c r="N340" s="17">
        <v>248</v>
      </c>
      <c r="O340" s="18">
        <v>0.82</v>
      </c>
    </row>
    <row r="341" spans="1:15" ht="17.399999999999999" x14ac:dyDescent="0.3">
      <c r="A341" s="7">
        <v>335</v>
      </c>
      <c r="B341" s="8" t="str">
        <f>HYPERLINK("https://webapp.icbf.com/v2/app/bull-search/view/1255581654","FR2435")</f>
        <v>FR2435</v>
      </c>
      <c r="C341" s="9" t="s">
        <v>369</v>
      </c>
      <c r="D341" s="10" t="s">
        <v>45</v>
      </c>
      <c r="E341" s="10" t="s">
        <v>17</v>
      </c>
      <c r="F341" s="36" t="s">
        <v>348</v>
      </c>
      <c r="G341" s="37">
        <v>0.32</v>
      </c>
      <c r="H341" s="38">
        <v>0.3</v>
      </c>
      <c r="I341" s="21">
        <v>8</v>
      </c>
      <c r="J341" s="21">
        <v>12</v>
      </c>
      <c r="K341" s="21">
        <v>252</v>
      </c>
      <c r="L341" s="22">
        <v>0</v>
      </c>
      <c r="M341" s="22">
        <v>3.2000000000000001E-2</v>
      </c>
      <c r="N341" s="17">
        <v>204</v>
      </c>
      <c r="O341" s="18">
        <v>0.84</v>
      </c>
    </row>
    <row r="342" spans="1:15" ht="17.399999999999999" x14ac:dyDescent="0.3">
      <c r="A342" s="7">
        <v>336</v>
      </c>
      <c r="B342" s="8" t="str">
        <f>HYPERLINK("https://webapp.icbf.com/v2/app/bull-search/view/1862947895","FR6628")</f>
        <v>FR6628</v>
      </c>
      <c r="C342" s="9" t="s">
        <v>370</v>
      </c>
      <c r="D342" s="10" t="s">
        <v>45</v>
      </c>
      <c r="E342" s="10" t="s">
        <v>21</v>
      </c>
      <c r="F342" s="36" t="s">
        <v>348</v>
      </c>
      <c r="G342" s="37">
        <v>0.32</v>
      </c>
      <c r="H342" s="38">
        <v>0.24</v>
      </c>
      <c r="I342" s="21" t="s">
        <v>19</v>
      </c>
      <c r="J342" s="21" t="s">
        <v>19</v>
      </c>
      <c r="K342" s="21" t="s">
        <v>19</v>
      </c>
      <c r="L342" s="21" t="s">
        <v>19</v>
      </c>
      <c r="M342" s="21" t="s">
        <v>19</v>
      </c>
      <c r="N342" s="17">
        <v>302</v>
      </c>
      <c r="O342" s="18">
        <v>0.52</v>
      </c>
    </row>
    <row r="343" spans="1:15" ht="17.399999999999999" x14ac:dyDescent="0.3">
      <c r="A343" s="7">
        <v>337</v>
      </c>
      <c r="B343" s="8" t="str">
        <f>HYPERLINK("https://webapp.icbf.com/v2/app/bull-search/view/1137071512","FR2032")</f>
        <v>FR2032</v>
      </c>
      <c r="C343" s="9" t="s">
        <v>371</v>
      </c>
      <c r="D343" s="10" t="s">
        <v>45</v>
      </c>
      <c r="E343" s="10" t="s">
        <v>27</v>
      </c>
      <c r="F343" s="36" t="s">
        <v>348</v>
      </c>
      <c r="G343" s="37">
        <v>0.32</v>
      </c>
      <c r="H343" s="38">
        <v>0.52</v>
      </c>
      <c r="I343" s="21">
        <v>115</v>
      </c>
      <c r="J343" s="21">
        <v>156</v>
      </c>
      <c r="K343" s="21">
        <v>2068</v>
      </c>
      <c r="L343" s="23">
        <v>0.16</v>
      </c>
      <c r="M343" s="22">
        <v>7.5999999999999998E-2</v>
      </c>
      <c r="N343" s="17">
        <v>201</v>
      </c>
      <c r="O343" s="18">
        <v>0.95</v>
      </c>
    </row>
    <row r="344" spans="1:15" ht="17.399999999999999" x14ac:dyDescent="0.3">
      <c r="A344" s="7">
        <v>338</v>
      </c>
      <c r="B344" s="8" t="str">
        <f>HYPERLINK("https://webapp.icbf.com/v2/app/bull-search/view/1477162370","FR4532")</f>
        <v>FR4532</v>
      </c>
      <c r="C344" s="9" t="s">
        <v>372</v>
      </c>
      <c r="D344" s="10" t="s">
        <v>45</v>
      </c>
      <c r="E344" s="10" t="s">
        <v>27</v>
      </c>
      <c r="F344" s="36" t="s">
        <v>348</v>
      </c>
      <c r="G344" s="37">
        <v>0.32</v>
      </c>
      <c r="H344" s="38">
        <v>0.37</v>
      </c>
      <c r="I344" s="21">
        <v>1</v>
      </c>
      <c r="J344" s="21">
        <v>1</v>
      </c>
      <c r="K344" s="21">
        <v>46</v>
      </c>
      <c r="L344" s="22">
        <v>0</v>
      </c>
      <c r="M344" s="22">
        <v>4.3999999999999997E-2</v>
      </c>
      <c r="N344" s="17">
        <v>234</v>
      </c>
      <c r="O344" s="18">
        <v>0.68</v>
      </c>
    </row>
    <row r="345" spans="1:15" ht="17.399999999999999" x14ac:dyDescent="0.3">
      <c r="A345" s="7">
        <v>339</v>
      </c>
      <c r="B345" s="8" t="str">
        <f>HYPERLINK("https://webapp.icbf.com/v2/app/bull-search/view/1256052111","FR2240")</f>
        <v>FR2240</v>
      </c>
      <c r="C345" s="9" t="s">
        <v>373</v>
      </c>
      <c r="D345" s="10" t="s">
        <v>45</v>
      </c>
      <c r="E345" s="10" t="s">
        <v>27</v>
      </c>
      <c r="F345" s="36" t="s">
        <v>348</v>
      </c>
      <c r="G345" s="37">
        <v>0.32</v>
      </c>
      <c r="H345" s="38">
        <v>0.35</v>
      </c>
      <c r="I345" s="21" t="s">
        <v>19</v>
      </c>
      <c r="J345" s="21" t="s">
        <v>19</v>
      </c>
      <c r="K345" s="21" t="s">
        <v>19</v>
      </c>
      <c r="L345" s="21" t="s">
        <v>19</v>
      </c>
      <c r="M345" s="21" t="s">
        <v>19</v>
      </c>
      <c r="N345" s="17">
        <v>212</v>
      </c>
      <c r="O345" s="18">
        <v>0.83</v>
      </c>
    </row>
    <row r="346" spans="1:15" ht="17.399999999999999" x14ac:dyDescent="0.3">
      <c r="A346" s="7">
        <v>340</v>
      </c>
      <c r="B346" s="8" t="str">
        <f>HYPERLINK("https://webapp.icbf.com/v2/app/bull-search/view/1851598443","FR7143")</f>
        <v>FR7143</v>
      </c>
      <c r="C346" s="9" t="s">
        <v>374</v>
      </c>
      <c r="D346" s="10" t="s">
        <v>45</v>
      </c>
      <c r="E346" s="10" t="s">
        <v>27</v>
      </c>
      <c r="F346" s="36" t="s">
        <v>348</v>
      </c>
      <c r="G346" s="37">
        <v>0.32</v>
      </c>
      <c r="H346" s="38">
        <v>0.33</v>
      </c>
      <c r="I346" s="21" t="s">
        <v>19</v>
      </c>
      <c r="J346" s="21" t="s">
        <v>19</v>
      </c>
      <c r="K346" s="21" t="s">
        <v>19</v>
      </c>
      <c r="L346" s="21" t="s">
        <v>19</v>
      </c>
      <c r="M346" s="21" t="s">
        <v>19</v>
      </c>
      <c r="N346" s="17">
        <v>348</v>
      </c>
      <c r="O346" s="18">
        <v>0.53</v>
      </c>
    </row>
    <row r="347" spans="1:15" ht="17.399999999999999" x14ac:dyDescent="0.3">
      <c r="A347" s="7">
        <v>341</v>
      </c>
      <c r="B347" s="8" t="str">
        <f>HYPERLINK("https://webapp.icbf.com/v2/app/bull-search/view/1355125091","FR4225")</f>
        <v>FR4225</v>
      </c>
      <c r="C347" s="9" t="s">
        <v>375</v>
      </c>
      <c r="D347" s="10" t="s">
        <v>45</v>
      </c>
      <c r="E347" s="10" t="s">
        <v>27</v>
      </c>
      <c r="F347" s="36" t="s">
        <v>348</v>
      </c>
      <c r="G347" s="37">
        <v>0.32</v>
      </c>
      <c r="H347" s="38">
        <v>0.28000000000000003</v>
      </c>
      <c r="I347" s="21">
        <v>7</v>
      </c>
      <c r="J347" s="21">
        <v>12</v>
      </c>
      <c r="K347" s="21">
        <v>322</v>
      </c>
      <c r="L347" s="22">
        <v>8.3000000000000004E-2</v>
      </c>
      <c r="M347" s="22">
        <v>3.4000000000000002E-2</v>
      </c>
      <c r="N347" s="17">
        <v>207</v>
      </c>
      <c r="O347" s="18">
        <v>0.72</v>
      </c>
    </row>
    <row r="348" spans="1:15" ht="17.399999999999999" x14ac:dyDescent="0.3">
      <c r="A348" s="7">
        <v>342</v>
      </c>
      <c r="B348" s="8" t="str">
        <f>HYPERLINK("https://webapp.icbf.com/v2/app/bull-search/view/1605159480","FR4675")</f>
        <v>FR4675</v>
      </c>
      <c r="C348" s="9" t="s">
        <v>376</v>
      </c>
      <c r="D348" s="10" t="s">
        <v>45</v>
      </c>
      <c r="E348" s="10" t="s">
        <v>21</v>
      </c>
      <c r="F348" s="36" t="s">
        <v>348</v>
      </c>
      <c r="G348" s="37">
        <v>0.32</v>
      </c>
      <c r="H348" s="38">
        <v>0.3</v>
      </c>
      <c r="I348" s="21" t="s">
        <v>19</v>
      </c>
      <c r="J348" s="21" t="s">
        <v>19</v>
      </c>
      <c r="K348" s="21" t="s">
        <v>19</v>
      </c>
      <c r="L348" s="21" t="s">
        <v>19</v>
      </c>
      <c r="M348" s="21" t="s">
        <v>19</v>
      </c>
      <c r="N348" s="17">
        <v>224</v>
      </c>
      <c r="O348" s="18">
        <v>0.62</v>
      </c>
    </row>
    <row r="349" spans="1:15" ht="17.399999999999999" x14ac:dyDescent="0.3">
      <c r="A349" s="7">
        <v>343</v>
      </c>
      <c r="B349" s="8" t="str">
        <f>HYPERLINK("https://webapp.icbf.com/v2/app/bull-search/view/1702212892","FR5668")</f>
        <v>FR5668</v>
      </c>
      <c r="C349" s="9" t="s">
        <v>377</v>
      </c>
      <c r="D349" s="10" t="s">
        <v>45</v>
      </c>
      <c r="E349" s="10" t="s">
        <v>145</v>
      </c>
      <c r="F349" s="36" t="s">
        <v>348</v>
      </c>
      <c r="G349" s="37">
        <v>0.32</v>
      </c>
      <c r="H349" s="38">
        <v>0.32</v>
      </c>
      <c r="I349" s="21" t="s">
        <v>19</v>
      </c>
      <c r="J349" s="21" t="s">
        <v>19</v>
      </c>
      <c r="K349" s="21" t="s">
        <v>19</v>
      </c>
      <c r="L349" s="21" t="s">
        <v>19</v>
      </c>
      <c r="M349" s="21" t="s">
        <v>19</v>
      </c>
      <c r="N349" s="17">
        <v>273</v>
      </c>
      <c r="O349" s="18">
        <v>0.56999999999999995</v>
      </c>
    </row>
    <row r="350" spans="1:15" ht="17.399999999999999" x14ac:dyDescent="0.3">
      <c r="A350" s="7">
        <v>344</v>
      </c>
      <c r="B350" s="8" t="str">
        <f>HYPERLINK("https://webapp.icbf.com/v2/app/bull-search/view/1866234488","FR7122")</f>
        <v>FR7122</v>
      </c>
      <c r="C350" s="9" t="s">
        <v>378</v>
      </c>
      <c r="D350" s="10" t="s">
        <v>45</v>
      </c>
      <c r="E350" s="10" t="s">
        <v>27</v>
      </c>
      <c r="F350" s="36" t="s">
        <v>348</v>
      </c>
      <c r="G350" s="37">
        <v>0.32</v>
      </c>
      <c r="H350" s="38">
        <v>0.26</v>
      </c>
      <c r="I350" s="21" t="s">
        <v>19</v>
      </c>
      <c r="J350" s="21" t="s">
        <v>19</v>
      </c>
      <c r="K350" s="21" t="s">
        <v>19</v>
      </c>
      <c r="L350" s="21" t="s">
        <v>19</v>
      </c>
      <c r="M350" s="21" t="s">
        <v>19</v>
      </c>
      <c r="N350" s="17">
        <v>269</v>
      </c>
      <c r="O350" s="18">
        <v>0.5</v>
      </c>
    </row>
    <row r="351" spans="1:15" ht="17.399999999999999" x14ac:dyDescent="0.3">
      <c r="A351" s="7">
        <v>345</v>
      </c>
      <c r="B351" s="8" t="str">
        <f>HYPERLINK("https://webapp.icbf.com/v2/app/bull-search/view/1871758695","FR6439")</f>
        <v>FR6439</v>
      </c>
      <c r="C351" s="9" t="s">
        <v>379</v>
      </c>
      <c r="D351" s="10" t="s">
        <v>45</v>
      </c>
      <c r="E351" s="10" t="s">
        <v>27</v>
      </c>
      <c r="F351" s="36" t="s">
        <v>348</v>
      </c>
      <c r="G351" s="37">
        <v>0.32</v>
      </c>
      <c r="H351" s="38">
        <v>0.28999999999999998</v>
      </c>
      <c r="I351" s="21" t="s">
        <v>19</v>
      </c>
      <c r="J351" s="21" t="s">
        <v>19</v>
      </c>
      <c r="K351" s="21" t="s">
        <v>19</v>
      </c>
      <c r="L351" s="21" t="s">
        <v>19</v>
      </c>
      <c r="M351" s="21" t="s">
        <v>19</v>
      </c>
      <c r="N351" s="17">
        <v>341</v>
      </c>
      <c r="O351" s="18">
        <v>0.52</v>
      </c>
    </row>
    <row r="352" spans="1:15" ht="17.399999999999999" x14ac:dyDescent="0.3">
      <c r="A352" s="7">
        <v>346</v>
      </c>
      <c r="B352" s="8" t="str">
        <f>HYPERLINK("https://webapp.icbf.com/v2/app/bull-search/view/1863946485","FR6535")</f>
        <v>FR6535</v>
      </c>
      <c r="C352" s="9" t="s">
        <v>380</v>
      </c>
      <c r="D352" s="10" t="s">
        <v>45</v>
      </c>
      <c r="E352" s="10" t="s">
        <v>21</v>
      </c>
      <c r="F352" s="36" t="s">
        <v>348</v>
      </c>
      <c r="G352" s="37">
        <v>0.32</v>
      </c>
      <c r="H352" s="38">
        <v>0.28000000000000003</v>
      </c>
      <c r="I352" s="21" t="s">
        <v>19</v>
      </c>
      <c r="J352" s="21" t="s">
        <v>19</v>
      </c>
      <c r="K352" s="21" t="s">
        <v>19</v>
      </c>
      <c r="L352" s="21" t="s">
        <v>19</v>
      </c>
      <c r="M352" s="21" t="s">
        <v>19</v>
      </c>
      <c r="N352" s="17">
        <v>303</v>
      </c>
      <c r="O352" s="18">
        <v>0.5</v>
      </c>
    </row>
    <row r="353" spans="1:15" ht="17.399999999999999" x14ac:dyDescent="0.3">
      <c r="A353" s="7">
        <v>347</v>
      </c>
      <c r="B353" s="8" t="str">
        <f>HYPERLINK("https://webapp.icbf.com/v2/app/bull-search/view/1607047844","FR4671")</f>
        <v>FR4671</v>
      </c>
      <c r="C353" s="9" t="s">
        <v>381</v>
      </c>
      <c r="D353" s="10" t="s">
        <v>45</v>
      </c>
      <c r="E353" s="10" t="s">
        <v>21</v>
      </c>
      <c r="F353" s="36" t="s">
        <v>348</v>
      </c>
      <c r="G353" s="37">
        <v>0.32</v>
      </c>
      <c r="H353" s="38">
        <v>0.3</v>
      </c>
      <c r="I353" s="21" t="s">
        <v>19</v>
      </c>
      <c r="J353" s="21" t="s">
        <v>19</v>
      </c>
      <c r="K353" s="21" t="s">
        <v>19</v>
      </c>
      <c r="L353" s="21" t="s">
        <v>19</v>
      </c>
      <c r="M353" s="21" t="s">
        <v>19</v>
      </c>
      <c r="N353" s="17">
        <v>218</v>
      </c>
      <c r="O353" s="18">
        <v>0.61</v>
      </c>
    </row>
    <row r="354" spans="1:15" ht="17.399999999999999" x14ac:dyDescent="0.3">
      <c r="A354" s="7">
        <v>348</v>
      </c>
      <c r="B354" s="8" t="str">
        <f>HYPERLINK("https://webapp.icbf.com/v2/app/bull-search/view/1678804062","FR5076")</f>
        <v>FR5076</v>
      </c>
      <c r="C354" s="9" t="s">
        <v>382</v>
      </c>
      <c r="D354" s="10" t="s">
        <v>45</v>
      </c>
      <c r="E354" s="10" t="s">
        <v>145</v>
      </c>
      <c r="F354" s="36" t="s">
        <v>348</v>
      </c>
      <c r="G354" s="37">
        <v>0.32</v>
      </c>
      <c r="H354" s="38">
        <v>0.3</v>
      </c>
      <c r="I354" s="21" t="s">
        <v>19</v>
      </c>
      <c r="J354" s="21" t="s">
        <v>19</v>
      </c>
      <c r="K354" s="21" t="s">
        <v>19</v>
      </c>
      <c r="L354" s="21" t="s">
        <v>19</v>
      </c>
      <c r="M354" s="21" t="s">
        <v>19</v>
      </c>
      <c r="N354" s="17">
        <v>218</v>
      </c>
      <c r="O354" s="18">
        <v>0.56999999999999995</v>
      </c>
    </row>
    <row r="355" spans="1:15" ht="17.399999999999999" x14ac:dyDescent="0.3">
      <c r="A355" s="7">
        <v>349</v>
      </c>
      <c r="B355" s="8" t="str">
        <f>HYPERLINK("https://webapp.icbf.com/v2/app/bull-search/view/1247608384","FR2298")</f>
        <v>FR2298</v>
      </c>
      <c r="C355" s="9" t="s">
        <v>383</v>
      </c>
      <c r="D355" s="10" t="s">
        <v>45</v>
      </c>
      <c r="E355" s="10" t="s">
        <v>27</v>
      </c>
      <c r="F355" s="36" t="s">
        <v>348</v>
      </c>
      <c r="G355" s="37">
        <v>0.32</v>
      </c>
      <c r="H355" s="38">
        <v>0.69</v>
      </c>
      <c r="I355" s="21">
        <v>348</v>
      </c>
      <c r="J355" s="21">
        <v>612</v>
      </c>
      <c r="K355" s="21">
        <v>6104</v>
      </c>
      <c r="L355" s="23">
        <v>0.1</v>
      </c>
      <c r="M355" s="22">
        <v>6.4000000000000001E-2</v>
      </c>
      <c r="N355" s="17">
        <v>222</v>
      </c>
      <c r="O355" s="18">
        <v>0.94</v>
      </c>
    </row>
    <row r="356" spans="1:15" ht="17.399999999999999" x14ac:dyDescent="0.3">
      <c r="A356" s="7">
        <v>350</v>
      </c>
      <c r="B356" s="8" t="str">
        <f>HYPERLINK("https://webapp.icbf.com/v2/app/bull-search/view/1482912351","FR4547")</f>
        <v>FR4547</v>
      </c>
      <c r="C356" s="9" t="s">
        <v>384</v>
      </c>
      <c r="D356" s="10" t="s">
        <v>45</v>
      </c>
      <c r="E356" s="10" t="s">
        <v>27</v>
      </c>
      <c r="F356" s="36" t="s">
        <v>348</v>
      </c>
      <c r="G356" s="37">
        <v>0.32</v>
      </c>
      <c r="H356" s="38">
        <v>0.35</v>
      </c>
      <c r="I356" s="21" t="s">
        <v>19</v>
      </c>
      <c r="J356" s="21" t="s">
        <v>19</v>
      </c>
      <c r="K356" s="21" t="s">
        <v>19</v>
      </c>
      <c r="L356" s="21" t="s">
        <v>19</v>
      </c>
      <c r="M356" s="21" t="s">
        <v>19</v>
      </c>
      <c r="N356" s="17">
        <v>301</v>
      </c>
      <c r="O356" s="18">
        <v>0.6</v>
      </c>
    </row>
    <row r="357" spans="1:15" ht="17.399999999999999" x14ac:dyDescent="0.3">
      <c r="A357" s="7">
        <v>351</v>
      </c>
      <c r="B357" s="8" t="str">
        <f>HYPERLINK("https://webapp.icbf.com/v2/app/bull-search/view/1418736378","FR4187")</f>
        <v>FR4187</v>
      </c>
      <c r="C357" s="9" t="s">
        <v>385</v>
      </c>
      <c r="D357" s="10" t="s">
        <v>45</v>
      </c>
      <c r="E357" s="10" t="s">
        <v>27</v>
      </c>
      <c r="F357" s="36" t="s">
        <v>348</v>
      </c>
      <c r="G357" s="37">
        <v>0.32</v>
      </c>
      <c r="H357" s="38">
        <v>0.4</v>
      </c>
      <c r="I357" s="21">
        <v>13</v>
      </c>
      <c r="J357" s="21">
        <v>24</v>
      </c>
      <c r="K357" s="21">
        <v>239</v>
      </c>
      <c r="L357" s="22">
        <v>8.3000000000000004E-2</v>
      </c>
      <c r="M357" s="22">
        <v>0.05</v>
      </c>
      <c r="N357" s="17">
        <v>235</v>
      </c>
      <c r="O357" s="18">
        <v>0.81</v>
      </c>
    </row>
    <row r="358" spans="1:15" ht="17.399999999999999" x14ac:dyDescent="0.3">
      <c r="A358" s="7">
        <v>352</v>
      </c>
      <c r="B358" s="8" t="str">
        <f>HYPERLINK("https://webapp.icbf.com/v2/app/bull-search/view/1619517244","FR4749")</f>
        <v>FR4749</v>
      </c>
      <c r="C358" s="9" t="s">
        <v>386</v>
      </c>
      <c r="D358" s="10" t="s">
        <v>45</v>
      </c>
      <c r="E358" s="10" t="s">
        <v>27</v>
      </c>
      <c r="F358" s="36" t="s">
        <v>348</v>
      </c>
      <c r="G358" s="37">
        <v>0.32</v>
      </c>
      <c r="H358" s="38">
        <v>0.31</v>
      </c>
      <c r="I358" s="21" t="s">
        <v>19</v>
      </c>
      <c r="J358" s="21" t="s">
        <v>19</v>
      </c>
      <c r="K358" s="21" t="s">
        <v>19</v>
      </c>
      <c r="L358" s="21" t="s">
        <v>19</v>
      </c>
      <c r="M358" s="21" t="s">
        <v>19</v>
      </c>
      <c r="N358" s="17">
        <v>227</v>
      </c>
      <c r="O358" s="18">
        <v>0.57999999999999996</v>
      </c>
    </row>
    <row r="359" spans="1:15" ht="17.399999999999999" x14ac:dyDescent="0.3">
      <c r="A359" s="7">
        <v>353</v>
      </c>
      <c r="B359" s="8" t="str">
        <f>HYPERLINK("https://webapp.icbf.com/v2/app/bull-search/view/1726415008","FR5533")</f>
        <v>FR5533</v>
      </c>
      <c r="C359" s="9" t="s">
        <v>387</v>
      </c>
      <c r="D359" s="10" t="s">
        <v>45</v>
      </c>
      <c r="E359" s="10" t="s">
        <v>27</v>
      </c>
      <c r="F359" s="36" t="s">
        <v>348</v>
      </c>
      <c r="G359" s="37">
        <v>0.32</v>
      </c>
      <c r="H359" s="38">
        <v>0.36</v>
      </c>
      <c r="I359" s="21" t="s">
        <v>19</v>
      </c>
      <c r="J359" s="21" t="s">
        <v>19</v>
      </c>
      <c r="K359" s="21" t="s">
        <v>19</v>
      </c>
      <c r="L359" s="21" t="s">
        <v>19</v>
      </c>
      <c r="M359" s="21" t="s">
        <v>19</v>
      </c>
      <c r="N359" s="17">
        <v>256</v>
      </c>
      <c r="O359" s="18">
        <v>0.61</v>
      </c>
    </row>
    <row r="360" spans="1:15" ht="17.399999999999999" x14ac:dyDescent="0.3">
      <c r="A360" s="7">
        <v>354</v>
      </c>
      <c r="B360" s="8" t="str">
        <f>HYPERLINK("https://webapp.icbf.com/v2/app/bull-search/view/1140843522","FR2035")</f>
        <v>FR2035</v>
      </c>
      <c r="C360" s="9" t="s">
        <v>388</v>
      </c>
      <c r="D360" s="10" t="s">
        <v>45</v>
      </c>
      <c r="E360" s="10" t="s">
        <v>27</v>
      </c>
      <c r="F360" s="36" t="s">
        <v>348</v>
      </c>
      <c r="G360" s="37">
        <v>0.32</v>
      </c>
      <c r="H360" s="38">
        <v>0.48</v>
      </c>
      <c r="I360" s="21">
        <v>48</v>
      </c>
      <c r="J360" s="21">
        <v>83</v>
      </c>
      <c r="K360" s="21">
        <v>936</v>
      </c>
      <c r="L360" s="23">
        <v>0.12</v>
      </c>
      <c r="M360" s="22">
        <v>6.2E-2</v>
      </c>
      <c r="N360" s="17">
        <v>207</v>
      </c>
      <c r="O360" s="18">
        <v>0.93</v>
      </c>
    </row>
    <row r="361" spans="1:15" ht="17.399999999999999" x14ac:dyDescent="0.3">
      <c r="A361" s="7">
        <v>355</v>
      </c>
      <c r="B361" s="8" t="str">
        <f>HYPERLINK("https://webapp.icbf.com/v2/app/bull-search/view/1343454289","FR4029")</f>
        <v>FR4029</v>
      </c>
      <c r="C361" s="9" t="s">
        <v>389</v>
      </c>
      <c r="D361" s="10" t="s">
        <v>45</v>
      </c>
      <c r="E361" s="10" t="s">
        <v>62</v>
      </c>
      <c r="F361" s="36" t="s">
        <v>348</v>
      </c>
      <c r="G361" s="37">
        <v>0.32</v>
      </c>
      <c r="H361" s="38">
        <v>0.35</v>
      </c>
      <c r="I361" s="21">
        <v>3</v>
      </c>
      <c r="J361" s="21">
        <v>8</v>
      </c>
      <c r="K361" s="21">
        <v>49</v>
      </c>
      <c r="L361" s="23">
        <v>0.13</v>
      </c>
      <c r="M361" s="22">
        <v>0.02</v>
      </c>
      <c r="N361" s="17">
        <v>209</v>
      </c>
      <c r="O361" s="18">
        <v>0.8</v>
      </c>
    </row>
    <row r="362" spans="1:15" ht="17.399999999999999" x14ac:dyDescent="0.3">
      <c r="A362" s="7">
        <v>356</v>
      </c>
      <c r="B362" s="8" t="str">
        <f>HYPERLINK("https://webapp.icbf.com/v2/app/bull-search/view/1356877527","FR4242")</f>
        <v>FR4242</v>
      </c>
      <c r="C362" s="9" t="s">
        <v>390</v>
      </c>
      <c r="D362" s="10" t="s">
        <v>45</v>
      </c>
      <c r="E362" s="10" t="s">
        <v>17</v>
      </c>
      <c r="F362" s="36" t="s">
        <v>348</v>
      </c>
      <c r="G362" s="37">
        <v>0.32</v>
      </c>
      <c r="H362" s="38">
        <v>0.41</v>
      </c>
      <c r="I362" s="21">
        <v>25</v>
      </c>
      <c r="J362" s="21">
        <v>42</v>
      </c>
      <c r="K362" s="21">
        <v>594</v>
      </c>
      <c r="L362" s="22">
        <v>9.5000000000000001E-2</v>
      </c>
      <c r="M362" s="22">
        <v>0.04</v>
      </c>
      <c r="N362" s="17">
        <v>201</v>
      </c>
      <c r="O362" s="18">
        <v>0.85</v>
      </c>
    </row>
    <row r="363" spans="1:15" ht="17.399999999999999" x14ac:dyDescent="0.3">
      <c r="A363" s="7">
        <v>357</v>
      </c>
      <c r="B363" s="8" t="str">
        <f>HYPERLINK("https://webapp.icbf.com/v2/app/bull-search/view/1734960390","FR5710")</f>
        <v>FR5710</v>
      </c>
      <c r="C363" s="9" t="s">
        <v>391</v>
      </c>
      <c r="D363" s="10" t="s">
        <v>45</v>
      </c>
      <c r="E363" s="10" t="s">
        <v>21</v>
      </c>
      <c r="F363" s="36" t="s">
        <v>348</v>
      </c>
      <c r="G363" s="37">
        <v>0.32</v>
      </c>
      <c r="H363" s="38">
        <v>0.34</v>
      </c>
      <c r="I363" s="21" t="s">
        <v>19</v>
      </c>
      <c r="J363" s="21" t="s">
        <v>19</v>
      </c>
      <c r="K363" s="21" t="s">
        <v>19</v>
      </c>
      <c r="L363" s="21" t="s">
        <v>19</v>
      </c>
      <c r="M363" s="21" t="s">
        <v>19</v>
      </c>
      <c r="N363" s="17">
        <v>225</v>
      </c>
      <c r="O363" s="18">
        <v>0.61</v>
      </c>
    </row>
    <row r="364" spans="1:15" ht="17.399999999999999" x14ac:dyDescent="0.3">
      <c r="A364" s="7">
        <v>358</v>
      </c>
      <c r="B364" s="8" t="str">
        <f>HYPERLINK("https://webapp.icbf.com/v2/app/bull-search/view/1729210903","FR6058")</f>
        <v>FR6058</v>
      </c>
      <c r="C364" s="9" t="s">
        <v>392</v>
      </c>
      <c r="D364" s="10" t="s">
        <v>45</v>
      </c>
      <c r="E364" s="10" t="s">
        <v>17</v>
      </c>
      <c r="F364" s="36" t="s">
        <v>348</v>
      </c>
      <c r="G364" s="37">
        <v>0.32</v>
      </c>
      <c r="H364" s="38">
        <v>0.28000000000000003</v>
      </c>
      <c r="I364" s="21" t="s">
        <v>19</v>
      </c>
      <c r="J364" s="21" t="s">
        <v>19</v>
      </c>
      <c r="K364" s="21" t="s">
        <v>19</v>
      </c>
      <c r="L364" s="21" t="s">
        <v>19</v>
      </c>
      <c r="M364" s="21" t="s">
        <v>19</v>
      </c>
      <c r="N364" s="17">
        <v>253</v>
      </c>
      <c r="O364" s="18">
        <v>0.57999999999999996</v>
      </c>
    </row>
    <row r="365" spans="1:15" ht="17.399999999999999" x14ac:dyDescent="0.3">
      <c r="A365" s="7">
        <v>359</v>
      </c>
      <c r="B365" s="8" t="str">
        <f>HYPERLINK("https://webapp.icbf.com/v2/app/bull-search/view/1851610892","FR6954")</f>
        <v>FR6954</v>
      </c>
      <c r="C365" s="9" t="s">
        <v>393</v>
      </c>
      <c r="D365" s="10" t="s">
        <v>45</v>
      </c>
      <c r="E365" s="10" t="s">
        <v>27</v>
      </c>
      <c r="F365" s="36" t="s">
        <v>394</v>
      </c>
      <c r="G365" s="37">
        <v>0.32</v>
      </c>
      <c r="H365" s="38">
        <v>0.28000000000000003</v>
      </c>
      <c r="I365" s="21" t="s">
        <v>19</v>
      </c>
      <c r="J365" s="21" t="s">
        <v>19</v>
      </c>
      <c r="K365" s="21" t="s">
        <v>19</v>
      </c>
      <c r="L365" s="21" t="s">
        <v>19</v>
      </c>
      <c r="M365" s="21" t="s">
        <v>19</v>
      </c>
      <c r="N365" s="17">
        <v>317</v>
      </c>
      <c r="O365" s="18">
        <v>0.49</v>
      </c>
    </row>
    <row r="366" spans="1:15" ht="17.399999999999999" x14ac:dyDescent="0.3">
      <c r="A366" s="7">
        <v>360</v>
      </c>
      <c r="B366" s="8" t="str">
        <f>HYPERLINK("https://webapp.icbf.com/v2/app/bull-search/view/1248008221","FR2341")</f>
        <v>FR2341</v>
      </c>
      <c r="C366" s="9" t="s">
        <v>395</v>
      </c>
      <c r="D366" s="10" t="s">
        <v>45</v>
      </c>
      <c r="E366" s="10" t="s">
        <v>62</v>
      </c>
      <c r="F366" s="36" t="s">
        <v>394</v>
      </c>
      <c r="G366" s="37">
        <v>0.32</v>
      </c>
      <c r="H366" s="38">
        <v>0.28000000000000003</v>
      </c>
      <c r="I366" s="21">
        <v>9</v>
      </c>
      <c r="J366" s="21">
        <v>11</v>
      </c>
      <c r="K366" s="21">
        <v>109</v>
      </c>
      <c r="L366" s="23">
        <v>0.18</v>
      </c>
      <c r="M366" s="22">
        <v>7.2999999999999995E-2</v>
      </c>
      <c r="N366" s="17">
        <v>200</v>
      </c>
      <c r="O366" s="18">
        <v>0.85</v>
      </c>
    </row>
    <row r="367" spans="1:15" ht="17.399999999999999" x14ac:dyDescent="0.3">
      <c r="A367" s="7">
        <v>361</v>
      </c>
      <c r="B367" s="8" t="str">
        <f>HYPERLINK("https://webapp.icbf.com/v2/app/bull-search/view/1729465082","FR5713")</f>
        <v>FR5713</v>
      </c>
      <c r="C367" s="9" t="s">
        <v>396</v>
      </c>
      <c r="D367" s="10" t="s">
        <v>45</v>
      </c>
      <c r="E367" s="10" t="s">
        <v>21</v>
      </c>
      <c r="F367" s="36" t="s">
        <v>394</v>
      </c>
      <c r="G367" s="37">
        <v>0.32</v>
      </c>
      <c r="H367" s="38">
        <v>0.28999999999999998</v>
      </c>
      <c r="I367" s="21" t="s">
        <v>19</v>
      </c>
      <c r="J367" s="21" t="s">
        <v>19</v>
      </c>
      <c r="K367" s="21" t="s">
        <v>19</v>
      </c>
      <c r="L367" s="21" t="s">
        <v>19</v>
      </c>
      <c r="M367" s="21" t="s">
        <v>19</v>
      </c>
      <c r="N367" s="17">
        <v>258</v>
      </c>
      <c r="O367" s="18">
        <v>0.54</v>
      </c>
    </row>
    <row r="368" spans="1:15" ht="17.399999999999999" x14ac:dyDescent="0.3">
      <c r="A368" s="7">
        <v>362</v>
      </c>
      <c r="B368" s="8" t="str">
        <f>HYPERLINK("https://webapp.icbf.com/v2/app/bull-search/view/1865191550","FR6688")</f>
        <v>FR6688</v>
      </c>
      <c r="C368" s="9" t="s">
        <v>397</v>
      </c>
      <c r="D368" s="10" t="s">
        <v>45</v>
      </c>
      <c r="E368" s="10" t="s">
        <v>27</v>
      </c>
      <c r="F368" s="36" t="s">
        <v>394</v>
      </c>
      <c r="G368" s="37">
        <v>0.32</v>
      </c>
      <c r="H368" s="38">
        <v>0.27</v>
      </c>
      <c r="I368" s="21" t="s">
        <v>19</v>
      </c>
      <c r="J368" s="21" t="s">
        <v>19</v>
      </c>
      <c r="K368" s="21" t="s">
        <v>19</v>
      </c>
      <c r="L368" s="21" t="s">
        <v>19</v>
      </c>
      <c r="M368" s="21" t="s">
        <v>19</v>
      </c>
      <c r="N368" s="17">
        <v>301</v>
      </c>
      <c r="O368" s="18">
        <v>0.5</v>
      </c>
    </row>
    <row r="369" spans="1:15" ht="17.399999999999999" x14ac:dyDescent="0.3">
      <c r="A369" s="7">
        <v>363</v>
      </c>
      <c r="B369" s="8" t="str">
        <f>HYPERLINK("https://webapp.icbf.com/v2/app/bull-search/view/1860230012","FR6829")</f>
        <v>FR6829</v>
      </c>
      <c r="C369" s="9" t="s">
        <v>398</v>
      </c>
      <c r="D369" s="10" t="s">
        <v>45</v>
      </c>
      <c r="E369" s="10" t="s">
        <v>21</v>
      </c>
      <c r="F369" s="36" t="s">
        <v>394</v>
      </c>
      <c r="G369" s="37">
        <v>0.32</v>
      </c>
      <c r="H369" s="38">
        <v>0.31</v>
      </c>
      <c r="I369" s="21" t="s">
        <v>19</v>
      </c>
      <c r="J369" s="21" t="s">
        <v>19</v>
      </c>
      <c r="K369" s="21" t="s">
        <v>19</v>
      </c>
      <c r="L369" s="21" t="s">
        <v>19</v>
      </c>
      <c r="M369" s="21" t="s">
        <v>19</v>
      </c>
      <c r="N369" s="17">
        <v>311</v>
      </c>
      <c r="O369" s="18">
        <v>0.52</v>
      </c>
    </row>
    <row r="370" spans="1:15" ht="17.399999999999999" x14ac:dyDescent="0.3">
      <c r="A370" s="7">
        <v>364</v>
      </c>
      <c r="B370" s="8" t="str">
        <f>HYPERLINK("https://webapp.icbf.com/v2/app/bull-search/view/1489614739","FR4545")</f>
        <v>FR4545</v>
      </c>
      <c r="C370" s="9" t="s">
        <v>399</v>
      </c>
      <c r="D370" s="10" t="s">
        <v>45</v>
      </c>
      <c r="E370" s="10" t="s">
        <v>27</v>
      </c>
      <c r="F370" s="36" t="s">
        <v>394</v>
      </c>
      <c r="G370" s="37">
        <v>0.32</v>
      </c>
      <c r="H370" s="38">
        <v>0.44</v>
      </c>
      <c r="I370" s="21">
        <v>1</v>
      </c>
      <c r="J370" s="21">
        <v>1</v>
      </c>
      <c r="K370" s="21">
        <v>3</v>
      </c>
      <c r="L370" s="22">
        <v>0</v>
      </c>
      <c r="M370" s="21" t="s">
        <v>19</v>
      </c>
      <c r="N370" s="17">
        <v>232</v>
      </c>
      <c r="O370" s="18">
        <v>0.65</v>
      </c>
    </row>
    <row r="371" spans="1:15" ht="17.399999999999999" x14ac:dyDescent="0.3">
      <c r="A371" s="7">
        <v>365</v>
      </c>
      <c r="B371" s="8" t="str">
        <f>HYPERLINK("https://webapp.icbf.com/v2/app/bull-search/view/1547628952","FR4959")</f>
        <v>FR4959</v>
      </c>
      <c r="C371" s="9" t="s">
        <v>400</v>
      </c>
      <c r="D371" s="10" t="s">
        <v>45</v>
      </c>
      <c r="E371" s="10" t="s">
        <v>17</v>
      </c>
      <c r="F371" s="36" t="s">
        <v>394</v>
      </c>
      <c r="G371" s="37">
        <v>0.32</v>
      </c>
      <c r="H371" s="38">
        <v>0.32</v>
      </c>
      <c r="I371" s="21" t="s">
        <v>19</v>
      </c>
      <c r="J371" s="21" t="s">
        <v>19</v>
      </c>
      <c r="K371" s="21" t="s">
        <v>19</v>
      </c>
      <c r="L371" s="21" t="s">
        <v>19</v>
      </c>
      <c r="M371" s="21" t="s">
        <v>19</v>
      </c>
      <c r="N371" s="17">
        <v>239</v>
      </c>
      <c r="O371" s="18">
        <v>0.66</v>
      </c>
    </row>
    <row r="372" spans="1:15" ht="17.399999999999999" x14ac:dyDescent="0.3">
      <c r="A372" s="7">
        <v>366</v>
      </c>
      <c r="B372" s="8" t="str">
        <f>HYPERLINK("https://webapp.icbf.com/v2/app/bull-search/view/1802077300","FR5674")</f>
        <v>FR5674</v>
      </c>
      <c r="C372" s="9" t="s">
        <v>401</v>
      </c>
      <c r="D372" s="10" t="s">
        <v>45</v>
      </c>
      <c r="E372" s="10" t="s">
        <v>145</v>
      </c>
      <c r="F372" s="36" t="s">
        <v>394</v>
      </c>
      <c r="G372" s="37">
        <v>0.32</v>
      </c>
      <c r="H372" s="38">
        <v>0.28000000000000003</v>
      </c>
      <c r="I372" s="21" t="s">
        <v>19</v>
      </c>
      <c r="J372" s="21" t="s">
        <v>19</v>
      </c>
      <c r="K372" s="21" t="s">
        <v>19</v>
      </c>
      <c r="L372" s="21" t="s">
        <v>19</v>
      </c>
      <c r="M372" s="21" t="s">
        <v>19</v>
      </c>
      <c r="N372" s="17">
        <v>218</v>
      </c>
      <c r="O372" s="18">
        <v>0.53</v>
      </c>
    </row>
    <row r="373" spans="1:15" ht="17.399999999999999" x14ac:dyDescent="0.3">
      <c r="A373" s="7">
        <v>367</v>
      </c>
      <c r="B373" s="8" t="str">
        <f>HYPERLINK("https://webapp.icbf.com/v2/app/bull-search/view/1276123659","FR2318")</f>
        <v>FR2318</v>
      </c>
      <c r="C373" s="9" t="s">
        <v>402</v>
      </c>
      <c r="D373" s="10" t="s">
        <v>45</v>
      </c>
      <c r="E373" s="10" t="s">
        <v>21</v>
      </c>
      <c r="F373" s="36" t="s">
        <v>394</v>
      </c>
      <c r="G373" s="37">
        <v>0.32</v>
      </c>
      <c r="H373" s="38">
        <v>0.32</v>
      </c>
      <c r="I373" s="21">
        <v>5</v>
      </c>
      <c r="J373" s="21">
        <v>8</v>
      </c>
      <c r="K373" s="21">
        <v>95</v>
      </c>
      <c r="L373" s="22">
        <v>0</v>
      </c>
      <c r="M373" s="22">
        <v>5.2999999999999999E-2</v>
      </c>
      <c r="N373" s="17">
        <v>207</v>
      </c>
      <c r="O373" s="18">
        <v>0.82</v>
      </c>
    </row>
    <row r="374" spans="1:15" ht="17.399999999999999" x14ac:dyDescent="0.3">
      <c r="A374" s="7">
        <v>368</v>
      </c>
      <c r="B374" s="8" t="str">
        <f>HYPERLINK("https://webapp.icbf.com/v2/app/bull-search/view/1607046239","FR4718")</f>
        <v>FR4718</v>
      </c>
      <c r="C374" s="9" t="s">
        <v>403</v>
      </c>
      <c r="D374" s="10" t="s">
        <v>45</v>
      </c>
      <c r="E374" s="10" t="s">
        <v>27</v>
      </c>
      <c r="F374" s="36" t="s">
        <v>394</v>
      </c>
      <c r="G374" s="37">
        <v>0.32</v>
      </c>
      <c r="H374" s="38">
        <v>0.37</v>
      </c>
      <c r="I374" s="21" t="s">
        <v>19</v>
      </c>
      <c r="J374" s="21" t="s">
        <v>19</v>
      </c>
      <c r="K374" s="21" t="s">
        <v>19</v>
      </c>
      <c r="L374" s="21" t="s">
        <v>19</v>
      </c>
      <c r="M374" s="21" t="s">
        <v>19</v>
      </c>
      <c r="N374" s="17">
        <v>229</v>
      </c>
      <c r="O374" s="18">
        <v>0.62</v>
      </c>
    </row>
    <row r="375" spans="1:15" ht="17.399999999999999" x14ac:dyDescent="0.3">
      <c r="A375" s="7">
        <v>369</v>
      </c>
      <c r="B375" s="8" t="str">
        <f>HYPERLINK("https://webapp.icbf.com/v2/app/bull-search/view/1860585075","FR6604")</f>
        <v>FR6604</v>
      </c>
      <c r="C375" s="9" t="s">
        <v>404</v>
      </c>
      <c r="D375" s="10" t="s">
        <v>45</v>
      </c>
      <c r="E375" s="10" t="s">
        <v>27</v>
      </c>
      <c r="F375" s="36" t="s">
        <v>394</v>
      </c>
      <c r="G375" s="37">
        <v>0.32</v>
      </c>
      <c r="H375" s="38">
        <v>0.3</v>
      </c>
      <c r="I375" s="21" t="s">
        <v>19</v>
      </c>
      <c r="J375" s="21" t="s">
        <v>19</v>
      </c>
      <c r="K375" s="21" t="s">
        <v>19</v>
      </c>
      <c r="L375" s="21" t="s">
        <v>19</v>
      </c>
      <c r="M375" s="21" t="s">
        <v>19</v>
      </c>
      <c r="N375" s="17">
        <v>284</v>
      </c>
      <c r="O375" s="18">
        <v>0.52</v>
      </c>
    </row>
    <row r="376" spans="1:15" ht="17.399999999999999" x14ac:dyDescent="0.3">
      <c r="A376" s="7">
        <v>370</v>
      </c>
      <c r="B376" s="8" t="str">
        <f>HYPERLINK("https://webapp.icbf.com/v2/app/bull-search/view/1864379515","FR6481")</f>
        <v>FR6481</v>
      </c>
      <c r="C376" s="9" t="s">
        <v>405</v>
      </c>
      <c r="D376" s="10" t="s">
        <v>45</v>
      </c>
      <c r="E376" s="10" t="s">
        <v>21</v>
      </c>
      <c r="F376" s="36" t="s">
        <v>394</v>
      </c>
      <c r="G376" s="37">
        <v>0.32</v>
      </c>
      <c r="H376" s="38">
        <v>0.33</v>
      </c>
      <c r="I376" s="21" t="s">
        <v>19</v>
      </c>
      <c r="J376" s="21" t="s">
        <v>19</v>
      </c>
      <c r="K376" s="21" t="s">
        <v>19</v>
      </c>
      <c r="L376" s="21" t="s">
        <v>19</v>
      </c>
      <c r="M376" s="21" t="s">
        <v>19</v>
      </c>
      <c r="N376" s="17">
        <v>353</v>
      </c>
      <c r="O376" s="18">
        <v>0.52</v>
      </c>
    </row>
    <row r="377" spans="1:15" ht="17.399999999999999" x14ac:dyDescent="0.3">
      <c r="A377" s="7">
        <v>371</v>
      </c>
      <c r="B377" s="8" t="str">
        <f>HYPERLINK("https://webapp.icbf.com/v2/app/bull-search/view/1473671353","FR4410")</f>
        <v>FR4410</v>
      </c>
      <c r="C377" s="9" t="s">
        <v>406</v>
      </c>
      <c r="D377" s="10" t="s">
        <v>45</v>
      </c>
      <c r="E377" s="10" t="s">
        <v>27</v>
      </c>
      <c r="F377" s="36" t="s">
        <v>394</v>
      </c>
      <c r="G377" s="37">
        <v>0.32</v>
      </c>
      <c r="H377" s="38">
        <v>0.28000000000000003</v>
      </c>
      <c r="I377" s="21">
        <v>1</v>
      </c>
      <c r="J377" s="21">
        <v>1</v>
      </c>
      <c r="K377" s="21">
        <v>10</v>
      </c>
      <c r="L377" s="22">
        <v>0</v>
      </c>
      <c r="M377" s="21" t="s">
        <v>19</v>
      </c>
      <c r="N377" s="17">
        <v>207</v>
      </c>
      <c r="O377" s="18">
        <v>0.63</v>
      </c>
    </row>
    <row r="378" spans="1:15" ht="17.399999999999999" x14ac:dyDescent="0.3">
      <c r="A378" s="7">
        <v>372</v>
      </c>
      <c r="B378" s="8" t="str">
        <f>HYPERLINK("https://webapp.icbf.com/v2/app/bull-search/view/1681161164","FR5599")</f>
        <v>FR5599</v>
      </c>
      <c r="C378" s="9" t="s">
        <v>407</v>
      </c>
      <c r="D378" s="10" t="s">
        <v>45</v>
      </c>
      <c r="E378" s="10" t="s">
        <v>27</v>
      </c>
      <c r="F378" s="36" t="s">
        <v>394</v>
      </c>
      <c r="G378" s="37">
        <v>0.32</v>
      </c>
      <c r="H378" s="38">
        <v>0.32</v>
      </c>
      <c r="I378" s="21" t="s">
        <v>19</v>
      </c>
      <c r="J378" s="21" t="s">
        <v>19</v>
      </c>
      <c r="K378" s="21" t="s">
        <v>19</v>
      </c>
      <c r="L378" s="21" t="s">
        <v>19</v>
      </c>
      <c r="M378" s="21" t="s">
        <v>19</v>
      </c>
      <c r="N378" s="17">
        <v>233</v>
      </c>
      <c r="O378" s="18">
        <v>0.56000000000000005</v>
      </c>
    </row>
    <row r="379" spans="1:15" ht="17.399999999999999" x14ac:dyDescent="0.3">
      <c r="A379" s="7">
        <v>373</v>
      </c>
      <c r="B379" s="8" t="str">
        <f>HYPERLINK("https://webapp.icbf.com/v2/app/bull-search/view/1867280216","FR6433")</f>
        <v>FR6433</v>
      </c>
      <c r="C379" s="9" t="s">
        <v>408</v>
      </c>
      <c r="D379" s="10" t="s">
        <v>45</v>
      </c>
      <c r="E379" s="10" t="s">
        <v>27</v>
      </c>
      <c r="F379" s="36" t="s">
        <v>394</v>
      </c>
      <c r="G379" s="37">
        <v>0.32</v>
      </c>
      <c r="H379" s="38">
        <v>0.28000000000000003</v>
      </c>
      <c r="I379" s="21" t="s">
        <v>19</v>
      </c>
      <c r="J379" s="21" t="s">
        <v>19</v>
      </c>
      <c r="K379" s="21" t="s">
        <v>19</v>
      </c>
      <c r="L379" s="21" t="s">
        <v>19</v>
      </c>
      <c r="M379" s="21" t="s">
        <v>19</v>
      </c>
      <c r="N379" s="17">
        <v>300</v>
      </c>
      <c r="O379" s="18">
        <v>0.5</v>
      </c>
    </row>
    <row r="380" spans="1:15" ht="17.399999999999999" x14ac:dyDescent="0.3">
      <c r="A380" s="7">
        <v>374</v>
      </c>
      <c r="B380" s="8" t="str">
        <f>HYPERLINK("https://webapp.icbf.com/v2/app/bull-search/view/1931253978","FR6448")</f>
        <v>FR6448</v>
      </c>
      <c r="C380" s="9" t="s">
        <v>409</v>
      </c>
      <c r="D380" s="10" t="s">
        <v>45</v>
      </c>
      <c r="E380" s="10" t="s">
        <v>27</v>
      </c>
      <c r="F380" s="36" t="s">
        <v>394</v>
      </c>
      <c r="G380" s="37">
        <v>0.32</v>
      </c>
      <c r="H380" s="38">
        <v>0.31</v>
      </c>
      <c r="I380" s="21" t="s">
        <v>19</v>
      </c>
      <c r="J380" s="21" t="s">
        <v>19</v>
      </c>
      <c r="K380" s="21" t="s">
        <v>19</v>
      </c>
      <c r="L380" s="21" t="s">
        <v>19</v>
      </c>
      <c r="M380" s="21" t="s">
        <v>19</v>
      </c>
      <c r="N380" s="17">
        <v>239</v>
      </c>
      <c r="O380" s="18">
        <v>0.49</v>
      </c>
    </row>
    <row r="381" spans="1:15" ht="17.399999999999999" x14ac:dyDescent="0.3">
      <c r="A381" s="7">
        <v>375</v>
      </c>
      <c r="B381" s="8" t="str">
        <f>HYPERLINK("https://webapp.icbf.com/v2/app/bull-search/view/1604322749","FR4738")</f>
        <v>FR4738</v>
      </c>
      <c r="C381" s="9" t="s">
        <v>410</v>
      </c>
      <c r="D381" s="10" t="s">
        <v>45</v>
      </c>
      <c r="E381" s="10" t="s">
        <v>27</v>
      </c>
      <c r="F381" s="36" t="s">
        <v>394</v>
      </c>
      <c r="G381" s="37">
        <v>0.32</v>
      </c>
      <c r="H381" s="38">
        <v>0.38</v>
      </c>
      <c r="I381" s="21" t="s">
        <v>19</v>
      </c>
      <c r="J381" s="21" t="s">
        <v>19</v>
      </c>
      <c r="K381" s="21" t="s">
        <v>19</v>
      </c>
      <c r="L381" s="21" t="s">
        <v>19</v>
      </c>
      <c r="M381" s="21" t="s">
        <v>19</v>
      </c>
      <c r="N381" s="17">
        <v>223</v>
      </c>
      <c r="O381" s="18">
        <v>0.63</v>
      </c>
    </row>
    <row r="382" spans="1:15" ht="17.399999999999999" x14ac:dyDescent="0.3">
      <c r="A382" s="7">
        <v>376</v>
      </c>
      <c r="B382" s="8" t="str">
        <f>HYPERLINK("https://webapp.icbf.com/v2/app/bull-search/view/1603102344","FR4800")</f>
        <v>FR4800</v>
      </c>
      <c r="C382" s="9" t="s">
        <v>411</v>
      </c>
      <c r="D382" s="10" t="s">
        <v>45</v>
      </c>
      <c r="E382" s="10" t="s">
        <v>21</v>
      </c>
      <c r="F382" s="36" t="s">
        <v>394</v>
      </c>
      <c r="G382" s="37">
        <v>0.32</v>
      </c>
      <c r="H382" s="38">
        <v>0.37</v>
      </c>
      <c r="I382" s="21" t="s">
        <v>19</v>
      </c>
      <c r="J382" s="21" t="s">
        <v>19</v>
      </c>
      <c r="K382" s="21" t="s">
        <v>19</v>
      </c>
      <c r="L382" s="21" t="s">
        <v>19</v>
      </c>
      <c r="M382" s="21" t="s">
        <v>19</v>
      </c>
      <c r="N382" s="17">
        <v>278</v>
      </c>
      <c r="O382" s="18">
        <v>0.61</v>
      </c>
    </row>
    <row r="383" spans="1:15" ht="17.399999999999999" x14ac:dyDescent="0.3">
      <c r="A383" s="7">
        <v>377</v>
      </c>
      <c r="B383" s="8" t="str">
        <f>HYPERLINK("https://webapp.icbf.com/v2/app/bull-search/view/1728496737","FR5515")</f>
        <v>FR5515</v>
      </c>
      <c r="C383" s="9" t="s">
        <v>412</v>
      </c>
      <c r="D383" s="10" t="s">
        <v>45</v>
      </c>
      <c r="E383" s="10" t="s">
        <v>27</v>
      </c>
      <c r="F383" s="36" t="s">
        <v>394</v>
      </c>
      <c r="G383" s="37">
        <v>0.32</v>
      </c>
      <c r="H383" s="38">
        <v>0.27</v>
      </c>
      <c r="I383" s="21" t="s">
        <v>19</v>
      </c>
      <c r="J383" s="21" t="s">
        <v>19</v>
      </c>
      <c r="K383" s="21" t="s">
        <v>19</v>
      </c>
      <c r="L383" s="21" t="s">
        <v>19</v>
      </c>
      <c r="M383" s="21" t="s">
        <v>19</v>
      </c>
      <c r="N383" s="17">
        <v>306</v>
      </c>
      <c r="O383" s="18">
        <v>0.55000000000000004</v>
      </c>
    </row>
    <row r="384" spans="1:15" ht="17.399999999999999" x14ac:dyDescent="0.3">
      <c r="A384" s="7">
        <v>378</v>
      </c>
      <c r="B384" s="8" t="str">
        <f>HYPERLINK("https://webapp.icbf.com/v2/app/bull-search/view/1137356670","FR2084")</f>
        <v>FR2084</v>
      </c>
      <c r="C384" s="9" t="s">
        <v>413</v>
      </c>
      <c r="D384" s="10" t="s">
        <v>45</v>
      </c>
      <c r="E384" s="10" t="s">
        <v>62</v>
      </c>
      <c r="F384" s="36" t="s">
        <v>394</v>
      </c>
      <c r="G384" s="37">
        <v>0.32</v>
      </c>
      <c r="H384" s="38">
        <v>0.37</v>
      </c>
      <c r="I384" s="21">
        <v>21</v>
      </c>
      <c r="J384" s="21">
        <v>30</v>
      </c>
      <c r="K384" s="21">
        <v>300</v>
      </c>
      <c r="L384" s="23">
        <v>0.13</v>
      </c>
      <c r="M384" s="22">
        <v>0.08</v>
      </c>
      <c r="N384" s="17">
        <v>222</v>
      </c>
      <c r="O384" s="18">
        <v>0.92</v>
      </c>
    </row>
    <row r="385" spans="1:15" ht="17.399999999999999" x14ac:dyDescent="0.3">
      <c r="A385" s="7">
        <v>379</v>
      </c>
      <c r="B385" s="8" t="str">
        <f>HYPERLINK("https://webapp.icbf.com/v2/app/bull-search/view/1337270684","FR4128")</f>
        <v>FR4128</v>
      </c>
      <c r="C385" s="9" t="s">
        <v>414</v>
      </c>
      <c r="D385" s="10" t="s">
        <v>45</v>
      </c>
      <c r="E385" s="10" t="s">
        <v>145</v>
      </c>
      <c r="F385" s="36" t="s">
        <v>394</v>
      </c>
      <c r="G385" s="37">
        <v>0.32</v>
      </c>
      <c r="H385" s="38">
        <v>0.34</v>
      </c>
      <c r="I385" s="21">
        <v>5</v>
      </c>
      <c r="J385" s="21">
        <v>10</v>
      </c>
      <c r="K385" s="21">
        <v>174</v>
      </c>
      <c r="L385" s="23">
        <v>0.1</v>
      </c>
      <c r="M385" s="22">
        <v>9.8000000000000004E-2</v>
      </c>
      <c r="N385" s="17">
        <v>202</v>
      </c>
      <c r="O385" s="18">
        <v>0.81</v>
      </c>
    </row>
    <row r="386" spans="1:15" ht="17.399999999999999" x14ac:dyDescent="0.3">
      <c r="A386" s="7">
        <v>380</v>
      </c>
      <c r="B386" s="8" t="str">
        <f>HYPERLINK("https://webapp.icbf.com/v2/app/bull-search/view/1859856785","FR6442")</f>
        <v>FR6442</v>
      </c>
      <c r="C386" s="9" t="s">
        <v>415</v>
      </c>
      <c r="D386" s="10" t="s">
        <v>45</v>
      </c>
      <c r="E386" s="10" t="s">
        <v>27</v>
      </c>
      <c r="F386" s="36" t="s">
        <v>394</v>
      </c>
      <c r="G386" s="37">
        <v>0.32</v>
      </c>
      <c r="H386" s="38">
        <v>0.28999999999999998</v>
      </c>
      <c r="I386" s="21" t="s">
        <v>19</v>
      </c>
      <c r="J386" s="21" t="s">
        <v>19</v>
      </c>
      <c r="K386" s="21" t="s">
        <v>19</v>
      </c>
      <c r="L386" s="21" t="s">
        <v>19</v>
      </c>
      <c r="M386" s="21" t="s">
        <v>19</v>
      </c>
      <c r="N386" s="17">
        <v>277</v>
      </c>
      <c r="O386" s="18">
        <v>0.52</v>
      </c>
    </row>
    <row r="387" spans="1:15" ht="17.399999999999999" x14ac:dyDescent="0.3">
      <c r="A387" s="7">
        <v>381</v>
      </c>
      <c r="B387" s="8" t="str">
        <f>HYPERLINK("https://webapp.icbf.com/v2/app/bull-search/view/1851610570","FR6718")</f>
        <v>FR6718</v>
      </c>
      <c r="C387" s="9" t="s">
        <v>416</v>
      </c>
      <c r="D387" s="10" t="s">
        <v>45</v>
      </c>
      <c r="E387" s="10" t="s">
        <v>21</v>
      </c>
      <c r="F387" s="36" t="s">
        <v>394</v>
      </c>
      <c r="G387" s="37">
        <v>0.32</v>
      </c>
      <c r="H387" s="38">
        <v>0.21</v>
      </c>
      <c r="I387" s="21" t="s">
        <v>19</v>
      </c>
      <c r="J387" s="21" t="s">
        <v>19</v>
      </c>
      <c r="K387" s="21" t="s">
        <v>19</v>
      </c>
      <c r="L387" s="21" t="s">
        <v>19</v>
      </c>
      <c r="M387" s="21" t="s">
        <v>19</v>
      </c>
      <c r="N387" s="17">
        <v>327</v>
      </c>
      <c r="O387" s="18">
        <v>0.51</v>
      </c>
    </row>
    <row r="388" spans="1:15" ht="17.399999999999999" x14ac:dyDescent="0.3">
      <c r="A388" s="7">
        <v>382</v>
      </c>
      <c r="B388" s="8" t="str">
        <f>HYPERLINK("https://webapp.icbf.com/v2/app/bull-search/view/1728691961","FR5539")</f>
        <v>FR5539</v>
      </c>
      <c r="C388" s="9" t="s">
        <v>417</v>
      </c>
      <c r="D388" s="10" t="s">
        <v>45</v>
      </c>
      <c r="E388" s="10" t="s">
        <v>27</v>
      </c>
      <c r="F388" s="36" t="s">
        <v>394</v>
      </c>
      <c r="G388" s="37">
        <v>0.32</v>
      </c>
      <c r="H388" s="38">
        <v>0.28999999999999998</v>
      </c>
      <c r="I388" s="21" t="s">
        <v>19</v>
      </c>
      <c r="J388" s="21" t="s">
        <v>19</v>
      </c>
      <c r="K388" s="21" t="s">
        <v>19</v>
      </c>
      <c r="L388" s="21" t="s">
        <v>19</v>
      </c>
      <c r="M388" s="21" t="s">
        <v>19</v>
      </c>
      <c r="N388" s="17">
        <v>251</v>
      </c>
      <c r="O388" s="18">
        <v>0.6</v>
      </c>
    </row>
    <row r="389" spans="1:15" ht="17.399999999999999" x14ac:dyDescent="0.3">
      <c r="A389" s="7">
        <v>383</v>
      </c>
      <c r="B389" s="8" t="str">
        <f>HYPERLINK("https://webapp.icbf.com/v2/app/bull-search/view/1846313971","FR7020")</f>
        <v>FR7020</v>
      </c>
      <c r="C389" s="9" t="s">
        <v>418</v>
      </c>
      <c r="D389" s="10" t="s">
        <v>45</v>
      </c>
      <c r="E389" s="10" t="s">
        <v>27</v>
      </c>
      <c r="F389" s="36" t="s">
        <v>394</v>
      </c>
      <c r="G389" s="37">
        <v>0.32</v>
      </c>
      <c r="H389" s="38">
        <v>0.27</v>
      </c>
      <c r="I389" s="21" t="s">
        <v>19</v>
      </c>
      <c r="J389" s="21" t="s">
        <v>19</v>
      </c>
      <c r="K389" s="21" t="s">
        <v>19</v>
      </c>
      <c r="L389" s="21" t="s">
        <v>19</v>
      </c>
      <c r="M389" s="21" t="s">
        <v>19</v>
      </c>
      <c r="N389" s="17">
        <v>334</v>
      </c>
      <c r="O389" s="18">
        <v>0.5</v>
      </c>
    </row>
    <row r="390" spans="1:15" ht="17.399999999999999" x14ac:dyDescent="0.3">
      <c r="A390" s="7">
        <v>384</v>
      </c>
      <c r="B390" s="8" t="str">
        <f>HYPERLINK("https://webapp.icbf.com/v2/app/bull-search/view/1618765198","FR5239")</f>
        <v>FR5239</v>
      </c>
      <c r="C390" s="9" t="s">
        <v>419</v>
      </c>
      <c r="D390" s="10" t="s">
        <v>45</v>
      </c>
      <c r="E390" s="10" t="s">
        <v>17</v>
      </c>
      <c r="F390" s="36" t="s">
        <v>394</v>
      </c>
      <c r="G390" s="37">
        <v>0.32</v>
      </c>
      <c r="H390" s="38">
        <v>0.35</v>
      </c>
      <c r="I390" s="21" t="s">
        <v>19</v>
      </c>
      <c r="J390" s="21" t="s">
        <v>19</v>
      </c>
      <c r="K390" s="21" t="s">
        <v>19</v>
      </c>
      <c r="L390" s="21" t="s">
        <v>19</v>
      </c>
      <c r="M390" s="21" t="s">
        <v>19</v>
      </c>
      <c r="N390" s="17">
        <v>240</v>
      </c>
      <c r="O390" s="18">
        <v>0.62</v>
      </c>
    </row>
    <row r="391" spans="1:15" ht="17.399999999999999" x14ac:dyDescent="0.3">
      <c r="A391" s="7">
        <v>385</v>
      </c>
      <c r="B391" s="8" t="str">
        <f>HYPERLINK("https://webapp.icbf.com/v2/app/bull-search/view/1140829173","FR2040")</f>
        <v>FR2040</v>
      </c>
      <c r="C391" s="9" t="s">
        <v>420</v>
      </c>
      <c r="D391" s="10" t="s">
        <v>45</v>
      </c>
      <c r="E391" s="10" t="s">
        <v>27</v>
      </c>
      <c r="F391" s="36" t="s">
        <v>394</v>
      </c>
      <c r="G391" s="37">
        <v>0.32</v>
      </c>
      <c r="H391" s="38">
        <v>0.39</v>
      </c>
      <c r="I391" s="21">
        <v>22</v>
      </c>
      <c r="J391" s="21">
        <v>23</v>
      </c>
      <c r="K391" s="21">
        <v>321</v>
      </c>
      <c r="L391" s="22">
        <v>8.6999999999999994E-2</v>
      </c>
      <c r="M391" s="23">
        <v>0.1</v>
      </c>
      <c r="N391" s="17">
        <v>214</v>
      </c>
      <c r="O391" s="18">
        <v>0.91</v>
      </c>
    </row>
    <row r="392" spans="1:15" ht="17.399999999999999" x14ac:dyDescent="0.3">
      <c r="A392" s="7">
        <v>386</v>
      </c>
      <c r="B392" s="8" t="str">
        <f>HYPERLINK("https://webapp.icbf.com/v2/app/bull-search/view/1482937331","FR4428")</f>
        <v>FR4428</v>
      </c>
      <c r="C392" s="9" t="s">
        <v>421</v>
      </c>
      <c r="D392" s="10" t="s">
        <v>45</v>
      </c>
      <c r="E392" s="10" t="s">
        <v>21</v>
      </c>
      <c r="F392" s="36" t="s">
        <v>394</v>
      </c>
      <c r="G392" s="37">
        <v>0.32</v>
      </c>
      <c r="H392" s="38">
        <v>0.31</v>
      </c>
      <c r="I392" s="21">
        <v>1</v>
      </c>
      <c r="J392" s="21">
        <v>1</v>
      </c>
      <c r="K392" s="21">
        <v>17</v>
      </c>
      <c r="L392" s="22">
        <v>0</v>
      </c>
      <c r="M392" s="23">
        <v>0.12</v>
      </c>
      <c r="N392" s="17">
        <v>249</v>
      </c>
      <c r="O392" s="18">
        <v>0.67</v>
      </c>
    </row>
    <row r="393" spans="1:15" ht="17.399999999999999" x14ac:dyDescent="0.3">
      <c r="A393" s="7">
        <v>387</v>
      </c>
      <c r="B393" s="8" t="str">
        <f>HYPERLINK("https://webapp.icbf.com/v2/app/bull-search/view/1610579554","FR4806")</f>
        <v>FR4806</v>
      </c>
      <c r="C393" s="9" t="s">
        <v>422</v>
      </c>
      <c r="D393" s="10" t="s">
        <v>45</v>
      </c>
      <c r="E393" s="10" t="s">
        <v>27</v>
      </c>
      <c r="F393" s="36" t="s">
        <v>394</v>
      </c>
      <c r="G393" s="37">
        <v>0.32</v>
      </c>
      <c r="H393" s="38">
        <v>0.35</v>
      </c>
      <c r="I393" s="21" t="s">
        <v>19</v>
      </c>
      <c r="J393" s="21" t="s">
        <v>19</v>
      </c>
      <c r="K393" s="21" t="s">
        <v>19</v>
      </c>
      <c r="L393" s="21" t="s">
        <v>19</v>
      </c>
      <c r="M393" s="21" t="s">
        <v>19</v>
      </c>
      <c r="N393" s="17">
        <v>209</v>
      </c>
      <c r="O393" s="18">
        <v>0.63</v>
      </c>
    </row>
    <row r="394" spans="1:15" ht="17.399999999999999" x14ac:dyDescent="0.3">
      <c r="A394" s="7">
        <v>388</v>
      </c>
      <c r="B394" s="8" t="str">
        <f>HYPERLINK("https://webapp.icbf.com/v2/app/bull-search/view/1718047977","FR5647")</f>
        <v>FR5647</v>
      </c>
      <c r="C394" s="9" t="s">
        <v>423</v>
      </c>
      <c r="D394" s="10" t="s">
        <v>45</v>
      </c>
      <c r="E394" s="10" t="s">
        <v>17</v>
      </c>
      <c r="F394" s="36" t="s">
        <v>394</v>
      </c>
      <c r="G394" s="37">
        <v>0.32</v>
      </c>
      <c r="H394" s="38">
        <v>0.32</v>
      </c>
      <c r="I394" s="21" t="s">
        <v>19</v>
      </c>
      <c r="J394" s="21" t="s">
        <v>19</v>
      </c>
      <c r="K394" s="21" t="s">
        <v>19</v>
      </c>
      <c r="L394" s="21" t="s">
        <v>19</v>
      </c>
      <c r="M394" s="21" t="s">
        <v>19</v>
      </c>
      <c r="N394" s="17">
        <v>267</v>
      </c>
      <c r="O394" s="18">
        <v>0.56999999999999995</v>
      </c>
    </row>
    <row r="395" spans="1:15" ht="17.399999999999999" x14ac:dyDescent="0.3">
      <c r="A395" s="7">
        <v>389</v>
      </c>
      <c r="B395" s="8" t="str">
        <f>HYPERLINK("https://webapp.icbf.com/v2/app/bull-search/view/1354259370","FR4203")</f>
        <v>FR4203</v>
      </c>
      <c r="C395" s="9" t="s">
        <v>424</v>
      </c>
      <c r="D395" s="10" t="s">
        <v>45</v>
      </c>
      <c r="E395" s="10" t="s">
        <v>62</v>
      </c>
      <c r="F395" s="36" t="s">
        <v>394</v>
      </c>
      <c r="G395" s="37">
        <v>0.32</v>
      </c>
      <c r="H395" s="38">
        <v>0.36</v>
      </c>
      <c r="I395" s="21">
        <v>4</v>
      </c>
      <c r="J395" s="21">
        <v>7</v>
      </c>
      <c r="K395" s="21">
        <v>41</v>
      </c>
      <c r="L395" s="22">
        <v>0</v>
      </c>
      <c r="M395" s="22">
        <v>7.2999999999999995E-2</v>
      </c>
      <c r="N395" s="17">
        <v>217</v>
      </c>
      <c r="O395" s="18">
        <v>0.82</v>
      </c>
    </row>
    <row r="396" spans="1:15" ht="17.399999999999999" x14ac:dyDescent="0.3">
      <c r="A396" s="7">
        <v>390</v>
      </c>
      <c r="B396" s="8" t="str">
        <f>HYPERLINK("https://webapp.icbf.com/v2/app/bull-search/view/1619518265","FR4608")</f>
        <v>FR4608</v>
      </c>
      <c r="C396" s="9" t="s">
        <v>425</v>
      </c>
      <c r="D396" s="10" t="s">
        <v>45</v>
      </c>
      <c r="E396" s="10" t="s">
        <v>145</v>
      </c>
      <c r="F396" s="36" t="s">
        <v>394</v>
      </c>
      <c r="G396" s="37">
        <v>0.32</v>
      </c>
      <c r="H396" s="38">
        <v>0.31</v>
      </c>
      <c r="I396" s="21">
        <v>1</v>
      </c>
      <c r="J396" s="21">
        <v>1</v>
      </c>
      <c r="K396" s="21">
        <v>129</v>
      </c>
      <c r="L396" s="22">
        <v>0</v>
      </c>
      <c r="M396" s="22">
        <v>1.6E-2</v>
      </c>
      <c r="N396" s="17">
        <v>217</v>
      </c>
      <c r="O396" s="18">
        <v>0.6</v>
      </c>
    </row>
    <row r="397" spans="1:15" ht="17.399999999999999" x14ac:dyDescent="0.3">
      <c r="A397" s="7">
        <v>391</v>
      </c>
      <c r="B397" s="8" t="str">
        <f>HYPERLINK("https://webapp.icbf.com/v2/app/bull-search/view/1886121774","FR6445")</f>
        <v>FR6445</v>
      </c>
      <c r="C397" s="9" t="s">
        <v>426</v>
      </c>
      <c r="D397" s="10" t="s">
        <v>45</v>
      </c>
      <c r="E397" s="10" t="s">
        <v>27</v>
      </c>
      <c r="F397" s="36" t="s">
        <v>394</v>
      </c>
      <c r="G397" s="37">
        <v>0.32</v>
      </c>
      <c r="H397" s="38">
        <v>0.32</v>
      </c>
      <c r="I397" s="21" t="s">
        <v>19</v>
      </c>
      <c r="J397" s="21" t="s">
        <v>19</v>
      </c>
      <c r="K397" s="21" t="s">
        <v>19</v>
      </c>
      <c r="L397" s="21" t="s">
        <v>19</v>
      </c>
      <c r="M397" s="21" t="s">
        <v>19</v>
      </c>
      <c r="N397" s="17">
        <v>243</v>
      </c>
      <c r="O397" s="18">
        <v>0.48</v>
      </c>
    </row>
    <row r="398" spans="1:15" ht="17.399999999999999" x14ac:dyDescent="0.3">
      <c r="A398" s="7">
        <v>392</v>
      </c>
      <c r="B398" s="8" t="str">
        <f>HYPERLINK("https://webapp.icbf.com/v2/app/bull-search/view/1605901556","FR4760")</f>
        <v>FR4760</v>
      </c>
      <c r="C398" s="9" t="s">
        <v>427</v>
      </c>
      <c r="D398" s="10" t="s">
        <v>45</v>
      </c>
      <c r="E398" s="10" t="s">
        <v>27</v>
      </c>
      <c r="F398" s="36" t="s">
        <v>394</v>
      </c>
      <c r="G398" s="37">
        <v>0.32</v>
      </c>
      <c r="H398" s="38">
        <v>0.37</v>
      </c>
      <c r="I398" s="21" t="s">
        <v>19</v>
      </c>
      <c r="J398" s="21" t="s">
        <v>19</v>
      </c>
      <c r="K398" s="21" t="s">
        <v>19</v>
      </c>
      <c r="L398" s="21" t="s">
        <v>19</v>
      </c>
      <c r="M398" s="21" t="s">
        <v>19</v>
      </c>
      <c r="N398" s="17">
        <v>238</v>
      </c>
      <c r="O398" s="18">
        <v>0.62</v>
      </c>
    </row>
    <row r="399" spans="1:15" ht="17.399999999999999" x14ac:dyDescent="0.3">
      <c r="A399" s="7">
        <v>393</v>
      </c>
      <c r="B399" s="8" t="str">
        <f>HYPERLINK("https://webapp.icbf.com/v2/app/bull-search/view/1865549800","FR6772")</f>
        <v>FR6772</v>
      </c>
      <c r="C399" s="9" t="s">
        <v>428</v>
      </c>
      <c r="D399" s="10" t="s">
        <v>45</v>
      </c>
      <c r="E399" s="10" t="s">
        <v>27</v>
      </c>
      <c r="F399" s="36" t="s">
        <v>394</v>
      </c>
      <c r="G399" s="37">
        <v>0.32</v>
      </c>
      <c r="H399" s="38">
        <v>0.3</v>
      </c>
      <c r="I399" s="21" t="s">
        <v>19</v>
      </c>
      <c r="J399" s="21" t="s">
        <v>19</v>
      </c>
      <c r="K399" s="21" t="s">
        <v>19</v>
      </c>
      <c r="L399" s="21" t="s">
        <v>19</v>
      </c>
      <c r="M399" s="21" t="s">
        <v>19</v>
      </c>
      <c r="N399" s="17">
        <v>312</v>
      </c>
      <c r="O399" s="18">
        <v>0.51</v>
      </c>
    </row>
    <row r="400" spans="1:15" ht="17.399999999999999" x14ac:dyDescent="0.3">
      <c r="A400" s="7">
        <v>394</v>
      </c>
      <c r="B400" s="8" t="str">
        <f>HYPERLINK("https://webapp.icbf.com/v2/app/bull-search/view/1576173654","FR4673")</f>
        <v>FR4673</v>
      </c>
      <c r="C400" s="9" t="s">
        <v>429</v>
      </c>
      <c r="D400" s="10" t="s">
        <v>45</v>
      </c>
      <c r="E400" s="10" t="s">
        <v>21</v>
      </c>
      <c r="F400" s="36" t="s">
        <v>394</v>
      </c>
      <c r="G400" s="37">
        <v>0.32</v>
      </c>
      <c r="H400" s="38">
        <v>0.37</v>
      </c>
      <c r="I400" s="21" t="s">
        <v>19</v>
      </c>
      <c r="J400" s="21" t="s">
        <v>19</v>
      </c>
      <c r="K400" s="21" t="s">
        <v>19</v>
      </c>
      <c r="L400" s="21" t="s">
        <v>19</v>
      </c>
      <c r="M400" s="21" t="s">
        <v>19</v>
      </c>
      <c r="N400" s="17">
        <v>255</v>
      </c>
      <c r="O400" s="18">
        <v>0.64</v>
      </c>
    </row>
    <row r="401" spans="1:15" ht="17.399999999999999" x14ac:dyDescent="0.3">
      <c r="A401" s="7">
        <v>395</v>
      </c>
      <c r="B401" s="8" t="str">
        <f>HYPERLINK("https://webapp.icbf.com/v2/app/bull-search/view/1609165120","FR4780")</f>
        <v>FR4780</v>
      </c>
      <c r="C401" s="9" t="s">
        <v>430</v>
      </c>
      <c r="D401" s="10" t="s">
        <v>45</v>
      </c>
      <c r="E401" s="10" t="s">
        <v>21</v>
      </c>
      <c r="F401" s="36" t="s">
        <v>394</v>
      </c>
      <c r="G401" s="37">
        <v>0.32</v>
      </c>
      <c r="H401" s="38">
        <v>0.38</v>
      </c>
      <c r="I401" s="21" t="s">
        <v>19</v>
      </c>
      <c r="J401" s="21" t="s">
        <v>19</v>
      </c>
      <c r="K401" s="21" t="s">
        <v>19</v>
      </c>
      <c r="L401" s="21" t="s">
        <v>19</v>
      </c>
      <c r="M401" s="21" t="s">
        <v>19</v>
      </c>
      <c r="N401" s="17">
        <v>200</v>
      </c>
      <c r="O401" s="18">
        <v>0.63</v>
      </c>
    </row>
    <row r="402" spans="1:15" ht="17.399999999999999" x14ac:dyDescent="0.3">
      <c r="A402" s="7">
        <v>396</v>
      </c>
      <c r="B402" s="8" t="str">
        <f>HYPERLINK("https://webapp.icbf.com/v2/app/bull-search/view/1842301400","FR6217")</f>
        <v>FR6217</v>
      </c>
      <c r="C402" s="9" t="s">
        <v>431</v>
      </c>
      <c r="D402" s="10" t="s">
        <v>45</v>
      </c>
      <c r="E402" s="10" t="s">
        <v>17</v>
      </c>
      <c r="F402" s="36" t="s">
        <v>394</v>
      </c>
      <c r="G402" s="37">
        <v>0.32</v>
      </c>
      <c r="H402" s="38">
        <v>0.3</v>
      </c>
      <c r="I402" s="21" t="s">
        <v>19</v>
      </c>
      <c r="J402" s="21" t="s">
        <v>19</v>
      </c>
      <c r="K402" s="21" t="s">
        <v>19</v>
      </c>
      <c r="L402" s="21" t="s">
        <v>19</v>
      </c>
      <c r="M402" s="21" t="s">
        <v>19</v>
      </c>
      <c r="N402" s="17">
        <v>280</v>
      </c>
      <c r="O402" s="18">
        <v>0.48</v>
      </c>
    </row>
    <row r="403" spans="1:15" ht="17.399999999999999" x14ac:dyDescent="0.3">
      <c r="A403" s="7">
        <v>397</v>
      </c>
      <c r="B403" s="8" t="str">
        <f>HYPERLINK("https://webapp.icbf.com/v2/app/bull-search/view/1137065982","FR2031")</f>
        <v>FR2031</v>
      </c>
      <c r="C403" s="9" t="s">
        <v>432</v>
      </c>
      <c r="D403" s="10" t="s">
        <v>45</v>
      </c>
      <c r="E403" s="10" t="s">
        <v>27</v>
      </c>
      <c r="F403" s="36" t="s">
        <v>394</v>
      </c>
      <c r="G403" s="37">
        <v>0.32</v>
      </c>
      <c r="H403" s="38">
        <v>0.5</v>
      </c>
      <c r="I403" s="21">
        <v>75</v>
      </c>
      <c r="J403" s="21">
        <v>95</v>
      </c>
      <c r="K403" s="21">
        <v>1284</v>
      </c>
      <c r="L403" s="23">
        <v>0.16</v>
      </c>
      <c r="M403" s="23">
        <v>0.11</v>
      </c>
      <c r="N403" s="17">
        <v>202</v>
      </c>
      <c r="O403" s="18">
        <v>0.93</v>
      </c>
    </row>
    <row r="404" spans="1:15" ht="17.399999999999999" x14ac:dyDescent="0.3">
      <c r="A404" s="7">
        <v>398</v>
      </c>
      <c r="B404" s="8" t="str">
        <f>HYPERLINK("https://webapp.icbf.com/v2/app/bull-search/view/1607469871","FR5133")</f>
        <v>FR5133</v>
      </c>
      <c r="C404" s="9" t="s">
        <v>433</v>
      </c>
      <c r="D404" s="10" t="s">
        <v>45</v>
      </c>
      <c r="E404" s="10" t="s">
        <v>17</v>
      </c>
      <c r="F404" s="36" t="s">
        <v>394</v>
      </c>
      <c r="G404" s="37">
        <v>0.32</v>
      </c>
      <c r="H404" s="38">
        <v>0.28999999999999998</v>
      </c>
      <c r="I404" s="21" t="s">
        <v>19</v>
      </c>
      <c r="J404" s="21" t="s">
        <v>19</v>
      </c>
      <c r="K404" s="21" t="s">
        <v>19</v>
      </c>
      <c r="L404" s="21" t="s">
        <v>19</v>
      </c>
      <c r="M404" s="21" t="s">
        <v>19</v>
      </c>
      <c r="N404" s="17">
        <v>283</v>
      </c>
      <c r="O404" s="18">
        <v>0.62</v>
      </c>
    </row>
    <row r="405" spans="1:15" ht="17.399999999999999" x14ac:dyDescent="0.3">
      <c r="A405" s="7">
        <v>399</v>
      </c>
      <c r="B405" s="8" t="str">
        <f>HYPERLINK("https://webapp.icbf.com/v2/app/bull-search/view/1609204761","FR4709")</f>
        <v>FR4709</v>
      </c>
      <c r="C405" s="9" t="s">
        <v>434</v>
      </c>
      <c r="D405" s="10" t="s">
        <v>45</v>
      </c>
      <c r="E405" s="10" t="s">
        <v>21</v>
      </c>
      <c r="F405" s="36" t="s">
        <v>394</v>
      </c>
      <c r="G405" s="37">
        <v>0.32</v>
      </c>
      <c r="H405" s="38">
        <v>0.34</v>
      </c>
      <c r="I405" s="21" t="s">
        <v>19</v>
      </c>
      <c r="J405" s="21" t="s">
        <v>19</v>
      </c>
      <c r="K405" s="21" t="s">
        <v>19</v>
      </c>
      <c r="L405" s="21" t="s">
        <v>19</v>
      </c>
      <c r="M405" s="21" t="s">
        <v>19</v>
      </c>
      <c r="N405" s="17">
        <v>244</v>
      </c>
      <c r="O405" s="18">
        <v>0.64</v>
      </c>
    </row>
    <row r="406" spans="1:15" ht="17.399999999999999" x14ac:dyDescent="0.3">
      <c r="A406" s="7">
        <v>400</v>
      </c>
      <c r="B406" s="8" t="str">
        <f>HYPERLINK("https://webapp.icbf.com/v2/app/bull-search/view/1602242585","FR4899")</f>
        <v>FR4899</v>
      </c>
      <c r="C406" s="9" t="s">
        <v>435</v>
      </c>
      <c r="D406" s="10" t="s">
        <v>45</v>
      </c>
      <c r="E406" s="10" t="s">
        <v>27</v>
      </c>
      <c r="F406" s="36" t="s">
        <v>394</v>
      </c>
      <c r="G406" s="37">
        <v>0.32</v>
      </c>
      <c r="H406" s="38">
        <v>0.4</v>
      </c>
      <c r="I406" s="21" t="s">
        <v>19</v>
      </c>
      <c r="J406" s="21" t="s">
        <v>19</v>
      </c>
      <c r="K406" s="21" t="s">
        <v>19</v>
      </c>
      <c r="L406" s="21" t="s">
        <v>19</v>
      </c>
      <c r="M406" s="21" t="s">
        <v>19</v>
      </c>
      <c r="N406" s="17">
        <v>214</v>
      </c>
      <c r="O406" s="18">
        <v>0.63</v>
      </c>
    </row>
    <row r="407" spans="1:15" ht="17.399999999999999" x14ac:dyDescent="0.3">
      <c r="A407" s="7">
        <v>401</v>
      </c>
      <c r="B407" s="8" t="str">
        <f>HYPERLINK("https://webapp.icbf.com/v2/app/bull-search/view/1851610655","FR7005")</f>
        <v>FR7005</v>
      </c>
      <c r="C407" s="9" t="s">
        <v>436</v>
      </c>
      <c r="D407" s="10" t="s">
        <v>45</v>
      </c>
      <c r="E407" s="10" t="s">
        <v>27</v>
      </c>
      <c r="F407" s="36" t="s">
        <v>394</v>
      </c>
      <c r="G407" s="37">
        <v>0.32</v>
      </c>
      <c r="H407" s="38">
        <v>0.32</v>
      </c>
      <c r="I407" s="21" t="s">
        <v>19</v>
      </c>
      <c r="J407" s="21" t="s">
        <v>19</v>
      </c>
      <c r="K407" s="21" t="s">
        <v>19</v>
      </c>
      <c r="L407" s="21" t="s">
        <v>19</v>
      </c>
      <c r="M407" s="21" t="s">
        <v>19</v>
      </c>
      <c r="N407" s="17">
        <v>292</v>
      </c>
      <c r="O407" s="18">
        <v>0.53</v>
      </c>
    </row>
    <row r="408" spans="1:15" ht="17.399999999999999" x14ac:dyDescent="0.3">
      <c r="A408" s="7">
        <v>402</v>
      </c>
      <c r="B408" s="8" t="str">
        <f>HYPERLINK("https://webapp.icbf.com/v2/app/bull-search/view/1276123312","FR4977")</f>
        <v>FR4977</v>
      </c>
      <c r="C408" s="9" t="s">
        <v>437</v>
      </c>
      <c r="D408" s="10" t="s">
        <v>45</v>
      </c>
      <c r="E408" s="10" t="s">
        <v>17</v>
      </c>
      <c r="F408" s="36" t="s">
        <v>394</v>
      </c>
      <c r="G408" s="37">
        <v>0.32</v>
      </c>
      <c r="H408" s="38">
        <v>0.23</v>
      </c>
      <c r="I408" s="21" t="s">
        <v>19</v>
      </c>
      <c r="J408" s="21" t="s">
        <v>19</v>
      </c>
      <c r="K408" s="21" t="s">
        <v>19</v>
      </c>
      <c r="L408" s="21" t="s">
        <v>19</v>
      </c>
      <c r="M408" s="21" t="s">
        <v>19</v>
      </c>
      <c r="N408" s="17">
        <v>204</v>
      </c>
      <c r="O408" s="18">
        <v>0.64</v>
      </c>
    </row>
    <row r="409" spans="1:15" ht="17.399999999999999" x14ac:dyDescent="0.3">
      <c r="A409" s="7">
        <v>403</v>
      </c>
      <c r="B409" s="8" t="str">
        <f>HYPERLINK("https://webapp.icbf.com/v2/app/bull-search/view/1755963721","FR5503")</f>
        <v>FR5503</v>
      </c>
      <c r="C409" s="9" t="s">
        <v>438</v>
      </c>
      <c r="D409" s="10" t="s">
        <v>45</v>
      </c>
      <c r="E409" s="10" t="s">
        <v>27</v>
      </c>
      <c r="F409" s="36" t="s">
        <v>394</v>
      </c>
      <c r="G409" s="37">
        <v>0.32</v>
      </c>
      <c r="H409" s="38">
        <v>0.3</v>
      </c>
      <c r="I409" s="21" t="s">
        <v>19</v>
      </c>
      <c r="J409" s="21" t="s">
        <v>19</v>
      </c>
      <c r="K409" s="21" t="s">
        <v>19</v>
      </c>
      <c r="L409" s="21" t="s">
        <v>19</v>
      </c>
      <c r="M409" s="21" t="s">
        <v>19</v>
      </c>
      <c r="N409" s="17">
        <v>208</v>
      </c>
      <c r="O409" s="18">
        <v>0.51</v>
      </c>
    </row>
    <row r="410" spans="1:15" ht="17.399999999999999" x14ac:dyDescent="0.3">
      <c r="A410" s="7">
        <v>404</v>
      </c>
      <c r="B410" s="8" t="str">
        <f>HYPERLINK("https://webapp.icbf.com/v2/app/bull-search/view/1250043628","FR2338")</f>
        <v>FR2338</v>
      </c>
      <c r="C410" s="9" t="s">
        <v>439</v>
      </c>
      <c r="D410" s="10" t="s">
        <v>45</v>
      </c>
      <c r="E410" s="10" t="s">
        <v>62</v>
      </c>
      <c r="F410" s="36" t="s">
        <v>440</v>
      </c>
      <c r="G410" s="37">
        <v>0.32</v>
      </c>
      <c r="H410" s="38">
        <v>0.47</v>
      </c>
      <c r="I410" s="21">
        <v>12</v>
      </c>
      <c r="J410" s="21">
        <v>19</v>
      </c>
      <c r="K410" s="21">
        <v>130</v>
      </c>
      <c r="L410" s="23">
        <v>0.11</v>
      </c>
      <c r="M410" s="22">
        <v>6.2E-2</v>
      </c>
      <c r="N410" s="17">
        <v>227</v>
      </c>
      <c r="O410" s="18">
        <v>0.91</v>
      </c>
    </row>
    <row r="411" spans="1:15" ht="17.399999999999999" x14ac:dyDescent="0.3">
      <c r="A411" s="7">
        <v>405</v>
      </c>
      <c r="B411" s="8" t="str">
        <f>HYPERLINK("https://webapp.icbf.com/v2/app/bull-search/view/1609166232","FR4758")</f>
        <v>FR4758</v>
      </c>
      <c r="C411" s="9" t="s">
        <v>441</v>
      </c>
      <c r="D411" s="10" t="s">
        <v>45</v>
      </c>
      <c r="E411" s="10" t="s">
        <v>27</v>
      </c>
      <c r="F411" s="36" t="s">
        <v>440</v>
      </c>
      <c r="G411" s="37">
        <v>0.32</v>
      </c>
      <c r="H411" s="38">
        <v>0.36</v>
      </c>
      <c r="I411" s="21" t="s">
        <v>19</v>
      </c>
      <c r="J411" s="21" t="s">
        <v>19</v>
      </c>
      <c r="K411" s="21" t="s">
        <v>19</v>
      </c>
      <c r="L411" s="21" t="s">
        <v>19</v>
      </c>
      <c r="M411" s="21" t="s">
        <v>19</v>
      </c>
      <c r="N411" s="17">
        <v>210</v>
      </c>
      <c r="O411" s="18">
        <v>0.63</v>
      </c>
    </row>
    <row r="412" spans="1:15" ht="17.399999999999999" x14ac:dyDescent="0.3">
      <c r="A412" s="7">
        <v>406</v>
      </c>
      <c r="B412" s="8" t="str">
        <f>HYPERLINK("https://webapp.icbf.com/v2/app/bull-search/view/1456852313","FR7107")</f>
        <v>FR7107</v>
      </c>
      <c r="C412" s="9" t="s">
        <v>442</v>
      </c>
      <c r="D412" s="10" t="s">
        <v>45</v>
      </c>
      <c r="E412" s="10" t="s">
        <v>17</v>
      </c>
      <c r="F412" s="36" t="s">
        <v>440</v>
      </c>
      <c r="G412" s="37">
        <v>0.32</v>
      </c>
      <c r="H412" s="38">
        <v>0.24</v>
      </c>
      <c r="I412" s="21" t="s">
        <v>19</v>
      </c>
      <c r="J412" s="21" t="s">
        <v>19</v>
      </c>
      <c r="K412" s="21" t="s">
        <v>19</v>
      </c>
      <c r="L412" s="21" t="s">
        <v>19</v>
      </c>
      <c r="M412" s="21" t="s">
        <v>19</v>
      </c>
      <c r="N412" s="17">
        <v>215</v>
      </c>
      <c r="O412" s="18">
        <v>0.63</v>
      </c>
    </row>
    <row r="413" spans="1:15" ht="17.399999999999999" x14ac:dyDescent="0.3">
      <c r="A413" s="7">
        <v>407</v>
      </c>
      <c r="B413" s="8" t="str">
        <f>HYPERLINK("https://webapp.icbf.com/v2/app/bull-search/view/1869670303","FR6960")</f>
        <v>FR6960</v>
      </c>
      <c r="C413" s="9" t="s">
        <v>443</v>
      </c>
      <c r="D413" s="10" t="s">
        <v>45</v>
      </c>
      <c r="E413" s="10" t="s">
        <v>27</v>
      </c>
      <c r="F413" s="36" t="s">
        <v>440</v>
      </c>
      <c r="G413" s="37">
        <v>0.32</v>
      </c>
      <c r="H413" s="38">
        <v>0.27</v>
      </c>
      <c r="I413" s="21" t="s">
        <v>19</v>
      </c>
      <c r="J413" s="21" t="s">
        <v>19</v>
      </c>
      <c r="K413" s="21" t="s">
        <v>19</v>
      </c>
      <c r="L413" s="21" t="s">
        <v>19</v>
      </c>
      <c r="M413" s="21" t="s">
        <v>19</v>
      </c>
      <c r="N413" s="17">
        <v>335</v>
      </c>
      <c r="O413" s="18">
        <v>0.52</v>
      </c>
    </row>
    <row r="414" spans="1:15" ht="17.399999999999999" x14ac:dyDescent="0.3">
      <c r="A414" s="7">
        <v>408</v>
      </c>
      <c r="B414" s="8" t="str">
        <f>HYPERLINK("https://webapp.icbf.com/v2/app/bull-search/view/666757278","MKK   ")</f>
        <v xml:space="preserve">MKK   </v>
      </c>
      <c r="C414" s="9" t="s">
        <v>444</v>
      </c>
      <c r="D414" s="10" t="s">
        <v>45</v>
      </c>
      <c r="E414" s="10" t="s">
        <v>27</v>
      </c>
      <c r="F414" s="36" t="s">
        <v>440</v>
      </c>
      <c r="G414" s="37">
        <v>0.32</v>
      </c>
      <c r="H414" s="38">
        <v>0.41</v>
      </c>
      <c r="I414" s="21">
        <v>71</v>
      </c>
      <c r="J414" s="21">
        <v>100</v>
      </c>
      <c r="K414" s="21">
        <v>1070</v>
      </c>
      <c r="L414" s="23">
        <v>0.12</v>
      </c>
      <c r="M414" s="22">
        <v>7.9000000000000001E-2</v>
      </c>
      <c r="N414" s="17">
        <v>217</v>
      </c>
      <c r="O414" s="18">
        <v>0.95</v>
      </c>
    </row>
    <row r="415" spans="1:15" ht="17.399999999999999" x14ac:dyDescent="0.3">
      <c r="A415" s="7">
        <v>409</v>
      </c>
      <c r="B415" s="8" t="str">
        <f>HYPERLINK("https://webapp.icbf.com/v2/app/bull-search/view/1738369089","FR5803")</f>
        <v>FR5803</v>
      </c>
      <c r="C415" s="9" t="s">
        <v>445</v>
      </c>
      <c r="D415" s="10" t="s">
        <v>45</v>
      </c>
      <c r="E415" s="10" t="s">
        <v>27</v>
      </c>
      <c r="F415" s="36" t="s">
        <v>440</v>
      </c>
      <c r="G415" s="37">
        <v>0.32</v>
      </c>
      <c r="H415" s="38">
        <v>0.37</v>
      </c>
      <c r="I415" s="21" t="s">
        <v>19</v>
      </c>
      <c r="J415" s="21" t="s">
        <v>19</v>
      </c>
      <c r="K415" s="21" t="s">
        <v>19</v>
      </c>
      <c r="L415" s="21" t="s">
        <v>19</v>
      </c>
      <c r="M415" s="21" t="s">
        <v>19</v>
      </c>
      <c r="N415" s="17">
        <v>291</v>
      </c>
      <c r="O415" s="18">
        <v>0.63</v>
      </c>
    </row>
    <row r="416" spans="1:15" ht="17.399999999999999" x14ac:dyDescent="0.3">
      <c r="A416" s="7">
        <v>410</v>
      </c>
      <c r="B416" s="8" t="str">
        <f>HYPERLINK("https://webapp.icbf.com/v2/app/bull-search/view/1475747471","FR4482")</f>
        <v>FR4482</v>
      </c>
      <c r="C416" s="9" t="s">
        <v>446</v>
      </c>
      <c r="D416" s="10" t="s">
        <v>45</v>
      </c>
      <c r="E416" s="10" t="s">
        <v>27</v>
      </c>
      <c r="F416" s="36" t="s">
        <v>440</v>
      </c>
      <c r="G416" s="37">
        <v>0.32</v>
      </c>
      <c r="H416" s="38">
        <v>0.38</v>
      </c>
      <c r="I416" s="21" t="s">
        <v>19</v>
      </c>
      <c r="J416" s="21" t="s">
        <v>19</v>
      </c>
      <c r="K416" s="21" t="s">
        <v>19</v>
      </c>
      <c r="L416" s="21" t="s">
        <v>19</v>
      </c>
      <c r="M416" s="21" t="s">
        <v>19</v>
      </c>
      <c r="N416" s="17">
        <v>277</v>
      </c>
      <c r="O416" s="18">
        <v>0.66</v>
      </c>
    </row>
    <row r="417" spans="1:15" ht="17.399999999999999" x14ac:dyDescent="0.3">
      <c r="A417" s="7">
        <v>411</v>
      </c>
      <c r="B417" s="8" t="str">
        <f>HYPERLINK("https://webapp.icbf.com/v2/app/bull-search/view/1867280965","FR6811")</f>
        <v>FR6811</v>
      </c>
      <c r="C417" s="9" t="s">
        <v>447</v>
      </c>
      <c r="D417" s="10" t="s">
        <v>45</v>
      </c>
      <c r="E417" s="10" t="s">
        <v>27</v>
      </c>
      <c r="F417" s="36" t="s">
        <v>440</v>
      </c>
      <c r="G417" s="37">
        <v>0.32</v>
      </c>
      <c r="H417" s="38">
        <v>0.28000000000000003</v>
      </c>
      <c r="I417" s="21" t="s">
        <v>19</v>
      </c>
      <c r="J417" s="21" t="s">
        <v>19</v>
      </c>
      <c r="K417" s="21" t="s">
        <v>19</v>
      </c>
      <c r="L417" s="21" t="s">
        <v>19</v>
      </c>
      <c r="M417" s="21" t="s">
        <v>19</v>
      </c>
      <c r="N417" s="17">
        <v>289</v>
      </c>
      <c r="O417" s="18">
        <v>0.52</v>
      </c>
    </row>
    <row r="418" spans="1:15" ht="17.399999999999999" x14ac:dyDescent="0.3">
      <c r="A418" s="7">
        <v>412</v>
      </c>
      <c r="B418" s="8" t="str">
        <f>HYPERLINK("https://webapp.icbf.com/v2/app/bull-search/view/1248439071","FR2425")</f>
        <v>FR2425</v>
      </c>
      <c r="C418" s="9" t="s">
        <v>448</v>
      </c>
      <c r="D418" s="10" t="s">
        <v>45</v>
      </c>
      <c r="E418" s="10" t="s">
        <v>17</v>
      </c>
      <c r="F418" s="36" t="s">
        <v>440</v>
      </c>
      <c r="G418" s="37">
        <v>0.33</v>
      </c>
      <c r="H418" s="38">
        <v>0.37</v>
      </c>
      <c r="I418" s="21">
        <v>9</v>
      </c>
      <c r="J418" s="21">
        <v>10</v>
      </c>
      <c r="K418" s="21">
        <v>110</v>
      </c>
      <c r="L418" s="23">
        <v>0.1</v>
      </c>
      <c r="M418" s="22">
        <v>6.4000000000000001E-2</v>
      </c>
      <c r="N418" s="17">
        <v>217</v>
      </c>
      <c r="O418" s="18">
        <v>0.85</v>
      </c>
    </row>
    <row r="419" spans="1:15" ht="17.399999999999999" x14ac:dyDescent="0.3">
      <c r="A419" s="7">
        <v>413</v>
      </c>
      <c r="B419" s="8" t="str">
        <f>HYPERLINK("https://webapp.icbf.com/v2/app/bull-search/view/1846334479","FR6646")</f>
        <v>FR6646</v>
      </c>
      <c r="C419" s="9" t="s">
        <v>449</v>
      </c>
      <c r="D419" s="10" t="s">
        <v>45</v>
      </c>
      <c r="E419" s="10" t="s">
        <v>27</v>
      </c>
      <c r="F419" s="36" t="s">
        <v>440</v>
      </c>
      <c r="G419" s="37">
        <v>0.33</v>
      </c>
      <c r="H419" s="38">
        <v>0.26</v>
      </c>
      <c r="I419" s="21" t="s">
        <v>19</v>
      </c>
      <c r="J419" s="21" t="s">
        <v>19</v>
      </c>
      <c r="K419" s="21" t="s">
        <v>19</v>
      </c>
      <c r="L419" s="21" t="s">
        <v>19</v>
      </c>
      <c r="M419" s="21" t="s">
        <v>19</v>
      </c>
      <c r="N419" s="17">
        <v>313</v>
      </c>
      <c r="O419" s="18">
        <v>0.5</v>
      </c>
    </row>
    <row r="420" spans="1:15" ht="17.399999999999999" x14ac:dyDescent="0.3">
      <c r="A420" s="7">
        <v>414</v>
      </c>
      <c r="B420" s="8" t="str">
        <f>HYPERLINK("https://webapp.icbf.com/v2/app/bull-search/view/1863940910","FR7191")</f>
        <v>FR7191</v>
      </c>
      <c r="C420" s="9" t="s">
        <v>450</v>
      </c>
      <c r="D420" s="10" t="s">
        <v>45</v>
      </c>
      <c r="E420" s="10" t="s">
        <v>27</v>
      </c>
      <c r="F420" s="36" t="s">
        <v>440</v>
      </c>
      <c r="G420" s="37">
        <v>0.33</v>
      </c>
      <c r="H420" s="38">
        <v>0.28999999999999998</v>
      </c>
      <c r="I420" s="21" t="s">
        <v>19</v>
      </c>
      <c r="J420" s="21" t="s">
        <v>19</v>
      </c>
      <c r="K420" s="21" t="s">
        <v>19</v>
      </c>
      <c r="L420" s="21" t="s">
        <v>19</v>
      </c>
      <c r="M420" s="21" t="s">
        <v>19</v>
      </c>
      <c r="N420" s="17">
        <v>297</v>
      </c>
      <c r="O420" s="18">
        <v>0.5</v>
      </c>
    </row>
    <row r="421" spans="1:15" ht="17.399999999999999" x14ac:dyDescent="0.3">
      <c r="A421" s="7">
        <v>415</v>
      </c>
      <c r="B421" s="8" t="str">
        <f>HYPERLINK("https://webapp.icbf.com/v2/app/bull-search/view/1681161034","FR5581")</f>
        <v>FR5581</v>
      </c>
      <c r="C421" s="9" t="s">
        <v>451</v>
      </c>
      <c r="D421" s="10" t="s">
        <v>45</v>
      </c>
      <c r="E421" s="10" t="s">
        <v>27</v>
      </c>
      <c r="F421" s="36" t="s">
        <v>440</v>
      </c>
      <c r="G421" s="37">
        <v>0.33</v>
      </c>
      <c r="H421" s="38">
        <v>0.31</v>
      </c>
      <c r="I421" s="21" t="s">
        <v>19</v>
      </c>
      <c r="J421" s="21" t="s">
        <v>19</v>
      </c>
      <c r="K421" s="21" t="s">
        <v>19</v>
      </c>
      <c r="L421" s="21" t="s">
        <v>19</v>
      </c>
      <c r="M421" s="21" t="s">
        <v>19</v>
      </c>
      <c r="N421" s="17">
        <v>262</v>
      </c>
      <c r="O421" s="18">
        <v>0.57999999999999996</v>
      </c>
    </row>
    <row r="422" spans="1:15" ht="17.399999999999999" x14ac:dyDescent="0.3">
      <c r="A422" s="7">
        <v>416</v>
      </c>
      <c r="B422" s="8" t="str">
        <f>HYPERLINK("https://webapp.icbf.com/v2/app/bull-search/view/1845357411","FR6574")</f>
        <v>FR6574</v>
      </c>
      <c r="C422" s="9" t="s">
        <v>452</v>
      </c>
      <c r="D422" s="10" t="s">
        <v>45</v>
      </c>
      <c r="E422" s="10" t="s">
        <v>27</v>
      </c>
      <c r="F422" s="36" t="s">
        <v>440</v>
      </c>
      <c r="G422" s="37">
        <v>0.33</v>
      </c>
      <c r="H422" s="38">
        <v>0.3</v>
      </c>
      <c r="I422" s="21" t="s">
        <v>19</v>
      </c>
      <c r="J422" s="21" t="s">
        <v>19</v>
      </c>
      <c r="K422" s="21" t="s">
        <v>19</v>
      </c>
      <c r="L422" s="21" t="s">
        <v>19</v>
      </c>
      <c r="M422" s="21" t="s">
        <v>19</v>
      </c>
      <c r="N422" s="17">
        <v>236</v>
      </c>
      <c r="O422" s="18">
        <v>0.51</v>
      </c>
    </row>
    <row r="423" spans="1:15" ht="17.399999999999999" x14ac:dyDescent="0.3">
      <c r="A423" s="7">
        <v>417</v>
      </c>
      <c r="B423" s="8" t="str">
        <f>HYPERLINK("https://webapp.icbf.com/v2/app/bull-search/view/954583346","WWT   ")</f>
        <v xml:space="preserve">WWT   </v>
      </c>
      <c r="C423" s="9" t="s">
        <v>453</v>
      </c>
      <c r="D423" s="10" t="s">
        <v>45</v>
      </c>
      <c r="E423" s="10" t="s">
        <v>27</v>
      </c>
      <c r="F423" s="36" t="s">
        <v>440</v>
      </c>
      <c r="G423" s="37">
        <v>0.33</v>
      </c>
      <c r="H423" s="38">
        <v>0.55000000000000004</v>
      </c>
      <c r="I423" s="21">
        <v>137</v>
      </c>
      <c r="J423" s="21">
        <v>188</v>
      </c>
      <c r="K423" s="21">
        <v>2004</v>
      </c>
      <c r="L423" s="23">
        <v>0.13</v>
      </c>
      <c r="M423" s="22">
        <v>9.2999999999999999E-2</v>
      </c>
      <c r="N423" s="17">
        <v>203</v>
      </c>
      <c r="O423" s="18">
        <v>0.95</v>
      </c>
    </row>
    <row r="424" spans="1:15" ht="17.399999999999999" x14ac:dyDescent="0.3">
      <c r="A424" s="7">
        <v>418</v>
      </c>
      <c r="B424" s="8" t="str">
        <f>HYPERLINK("https://webapp.icbf.com/v2/app/bull-search/view/1414935578","FR4478")</f>
        <v>FR4478</v>
      </c>
      <c r="C424" s="9" t="s">
        <v>454</v>
      </c>
      <c r="D424" s="10" t="s">
        <v>45</v>
      </c>
      <c r="E424" s="10" t="s">
        <v>27</v>
      </c>
      <c r="F424" s="36" t="s">
        <v>440</v>
      </c>
      <c r="G424" s="37">
        <v>0.33</v>
      </c>
      <c r="H424" s="38">
        <v>0.37</v>
      </c>
      <c r="I424" s="21">
        <v>1</v>
      </c>
      <c r="J424" s="21">
        <v>1</v>
      </c>
      <c r="K424" s="21">
        <v>5</v>
      </c>
      <c r="L424" s="22">
        <v>0</v>
      </c>
      <c r="M424" s="23">
        <v>0.2</v>
      </c>
      <c r="N424" s="17">
        <v>298</v>
      </c>
      <c r="O424" s="18">
        <v>0.63</v>
      </c>
    </row>
    <row r="425" spans="1:15" ht="17.399999999999999" x14ac:dyDescent="0.3">
      <c r="A425" s="7">
        <v>419</v>
      </c>
      <c r="B425" s="8" t="str">
        <f>HYPERLINK("https://webapp.icbf.com/v2/app/bull-search/view/1376478094","FR6730")</f>
        <v>FR6730</v>
      </c>
      <c r="C425" s="9" t="s">
        <v>455</v>
      </c>
      <c r="D425" s="10" t="s">
        <v>45</v>
      </c>
      <c r="E425" s="10" t="s">
        <v>17</v>
      </c>
      <c r="F425" s="36" t="s">
        <v>440</v>
      </c>
      <c r="G425" s="37">
        <v>0.33</v>
      </c>
      <c r="H425" s="38">
        <v>0.21</v>
      </c>
      <c r="I425" s="21" t="s">
        <v>19</v>
      </c>
      <c r="J425" s="21" t="s">
        <v>19</v>
      </c>
      <c r="K425" s="21" t="s">
        <v>19</v>
      </c>
      <c r="L425" s="21" t="s">
        <v>19</v>
      </c>
      <c r="M425" s="21" t="s">
        <v>19</v>
      </c>
      <c r="N425" s="17">
        <v>202</v>
      </c>
      <c r="O425" s="18">
        <v>0.63</v>
      </c>
    </row>
    <row r="426" spans="1:15" ht="17.399999999999999" x14ac:dyDescent="0.3">
      <c r="A426" s="7">
        <v>420</v>
      </c>
      <c r="B426" s="8" t="str">
        <f>HYPERLINK("https://webapp.icbf.com/v2/app/bull-search/view/1481163576","FR4337")</f>
        <v>FR4337</v>
      </c>
      <c r="C426" s="9" t="s">
        <v>456</v>
      </c>
      <c r="D426" s="10" t="s">
        <v>45</v>
      </c>
      <c r="E426" s="10" t="s">
        <v>27</v>
      </c>
      <c r="F426" s="36" t="s">
        <v>440</v>
      </c>
      <c r="G426" s="37">
        <v>0.33</v>
      </c>
      <c r="H426" s="38">
        <v>0.36</v>
      </c>
      <c r="I426" s="21">
        <v>1</v>
      </c>
      <c r="J426" s="21">
        <v>1</v>
      </c>
      <c r="K426" s="21">
        <v>5</v>
      </c>
      <c r="L426" s="23">
        <v>1</v>
      </c>
      <c r="M426" s="23">
        <v>0.2</v>
      </c>
      <c r="N426" s="17">
        <v>249</v>
      </c>
      <c r="O426" s="18">
        <v>0.69</v>
      </c>
    </row>
    <row r="427" spans="1:15" ht="17.399999999999999" x14ac:dyDescent="0.3">
      <c r="A427" s="7">
        <v>421</v>
      </c>
      <c r="B427" s="8" t="str">
        <f>HYPERLINK("https://webapp.icbf.com/v2/app/bull-search/view/953373632","RPA   ")</f>
        <v xml:space="preserve">RPA   </v>
      </c>
      <c r="C427" s="9" t="s">
        <v>457</v>
      </c>
      <c r="D427" s="10" t="s">
        <v>45</v>
      </c>
      <c r="E427" s="10" t="s">
        <v>27</v>
      </c>
      <c r="F427" s="36" t="s">
        <v>440</v>
      </c>
      <c r="G427" s="37">
        <v>0.33</v>
      </c>
      <c r="H427" s="38">
        <v>0.76</v>
      </c>
      <c r="I427" s="21">
        <v>556</v>
      </c>
      <c r="J427" s="21">
        <v>825</v>
      </c>
      <c r="K427" s="21">
        <v>6625</v>
      </c>
      <c r="L427" s="23">
        <v>0.15</v>
      </c>
      <c r="M427" s="23">
        <v>0.12</v>
      </c>
      <c r="N427" s="17">
        <v>211</v>
      </c>
      <c r="O427" s="18">
        <v>0.97</v>
      </c>
    </row>
    <row r="428" spans="1:15" ht="17.399999999999999" x14ac:dyDescent="0.3">
      <c r="A428" s="7">
        <v>422</v>
      </c>
      <c r="B428" s="8" t="str">
        <f>HYPERLINK("https://webapp.icbf.com/v2/app/bull-search/view/1150913746","FR4503")</f>
        <v>FR4503</v>
      </c>
      <c r="C428" s="9" t="s">
        <v>458</v>
      </c>
      <c r="D428" s="10" t="s">
        <v>45</v>
      </c>
      <c r="E428" s="10" t="s">
        <v>17</v>
      </c>
      <c r="F428" s="36" t="s">
        <v>440</v>
      </c>
      <c r="G428" s="37">
        <v>0.33</v>
      </c>
      <c r="H428" s="38">
        <v>0.23</v>
      </c>
      <c r="I428" s="21">
        <v>4</v>
      </c>
      <c r="J428" s="21">
        <v>5</v>
      </c>
      <c r="K428" s="21">
        <v>54</v>
      </c>
      <c r="L428" s="23">
        <v>0.6</v>
      </c>
      <c r="M428" s="23">
        <v>0.48</v>
      </c>
      <c r="N428" s="17">
        <v>245</v>
      </c>
      <c r="O428" s="18">
        <v>0.67</v>
      </c>
    </row>
    <row r="429" spans="1:15" ht="17.399999999999999" x14ac:dyDescent="0.3">
      <c r="A429" s="7">
        <v>423</v>
      </c>
      <c r="B429" s="8" t="str">
        <f>HYPERLINK("https://webapp.icbf.com/v2/app/bull-search/view/747499416","TSK   ")</f>
        <v xml:space="preserve">TSK   </v>
      </c>
      <c r="C429" s="9" t="s">
        <v>459</v>
      </c>
      <c r="D429" s="10" t="s">
        <v>45</v>
      </c>
      <c r="E429" s="10" t="s">
        <v>27</v>
      </c>
      <c r="F429" s="36" t="s">
        <v>440</v>
      </c>
      <c r="G429" s="37">
        <v>0.33</v>
      </c>
      <c r="H429" s="38">
        <v>0.78</v>
      </c>
      <c r="I429" s="21">
        <v>695</v>
      </c>
      <c r="J429" s="21">
        <v>932</v>
      </c>
      <c r="K429" s="21">
        <v>6320</v>
      </c>
      <c r="L429" s="23">
        <v>0.2</v>
      </c>
      <c r="M429" s="23">
        <v>0.18</v>
      </c>
      <c r="N429" s="17">
        <v>219</v>
      </c>
      <c r="O429" s="18">
        <v>0.98</v>
      </c>
    </row>
    <row r="430" spans="1:15" ht="17.399999999999999" x14ac:dyDescent="0.3">
      <c r="A430" s="7">
        <v>424</v>
      </c>
      <c r="B430" s="8" t="str">
        <f>HYPERLINK("https://webapp.icbf.com/v2/app/bull-search/view/1136798572","FR2003")</f>
        <v>FR2003</v>
      </c>
      <c r="C430" s="9" t="s">
        <v>460</v>
      </c>
      <c r="D430" s="10" t="s">
        <v>45</v>
      </c>
      <c r="E430" s="10" t="s">
        <v>27</v>
      </c>
      <c r="F430" s="36" t="s">
        <v>440</v>
      </c>
      <c r="G430" s="37">
        <v>0.33</v>
      </c>
      <c r="H430" s="38">
        <v>0.4</v>
      </c>
      <c r="I430" s="21">
        <v>8</v>
      </c>
      <c r="J430" s="21">
        <v>12</v>
      </c>
      <c r="K430" s="21">
        <v>86</v>
      </c>
      <c r="L430" s="23">
        <v>0.25</v>
      </c>
      <c r="M430" s="23">
        <v>0.15</v>
      </c>
      <c r="N430" s="17">
        <v>200</v>
      </c>
      <c r="O430" s="18">
        <v>0.88</v>
      </c>
    </row>
    <row r="431" spans="1:15" ht="17.399999999999999" x14ac:dyDescent="0.3">
      <c r="A431" s="7">
        <v>425</v>
      </c>
      <c r="B431" s="8" t="str">
        <f>HYPERLINK("https://webapp.icbf.com/v2/app/bull-search/view/1866244240","FR6544")</f>
        <v>FR6544</v>
      </c>
      <c r="C431" s="9" t="s">
        <v>461</v>
      </c>
      <c r="D431" s="10" t="s">
        <v>45</v>
      </c>
      <c r="E431" s="10" t="s">
        <v>27</v>
      </c>
      <c r="F431" s="36" t="s">
        <v>440</v>
      </c>
      <c r="G431" s="37">
        <v>0.33</v>
      </c>
      <c r="H431" s="38">
        <v>0.28999999999999998</v>
      </c>
      <c r="I431" s="21" t="s">
        <v>19</v>
      </c>
      <c r="J431" s="21" t="s">
        <v>19</v>
      </c>
      <c r="K431" s="21" t="s">
        <v>19</v>
      </c>
      <c r="L431" s="21" t="s">
        <v>19</v>
      </c>
      <c r="M431" s="21" t="s">
        <v>19</v>
      </c>
      <c r="N431" s="17">
        <v>252</v>
      </c>
      <c r="O431" s="18">
        <v>0.52</v>
      </c>
    </row>
    <row r="432" spans="1:15" ht="17.399999999999999" x14ac:dyDescent="0.3">
      <c r="A432" s="7">
        <v>426</v>
      </c>
      <c r="B432" s="8" t="str">
        <f>HYPERLINK("https://webapp.icbf.com/v2/app/bull-search/view/1886041874","FR6664")</f>
        <v>FR6664</v>
      </c>
      <c r="C432" s="9" t="s">
        <v>462</v>
      </c>
      <c r="D432" s="10" t="s">
        <v>45</v>
      </c>
      <c r="E432" s="10" t="s">
        <v>27</v>
      </c>
      <c r="F432" s="36" t="s">
        <v>463</v>
      </c>
      <c r="G432" s="37">
        <v>0.33</v>
      </c>
      <c r="H432" s="38">
        <v>0.3</v>
      </c>
      <c r="I432" s="21" t="s">
        <v>19</v>
      </c>
      <c r="J432" s="21" t="s">
        <v>19</v>
      </c>
      <c r="K432" s="21" t="s">
        <v>19</v>
      </c>
      <c r="L432" s="21" t="s">
        <v>19</v>
      </c>
      <c r="M432" s="21" t="s">
        <v>19</v>
      </c>
      <c r="N432" s="17">
        <v>215</v>
      </c>
      <c r="O432" s="18">
        <v>0.48</v>
      </c>
    </row>
    <row r="433" spans="1:15" ht="17.399999999999999" x14ac:dyDescent="0.3">
      <c r="A433" s="7">
        <v>427</v>
      </c>
      <c r="B433" s="8" t="str">
        <f>HYPERLINK("https://webapp.icbf.com/v2/app/bull-search/view/1600372192","FR5127")</f>
        <v>FR5127</v>
      </c>
      <c r="C433" s="9" t="s">
        <v>464</v>
      </c>
      <c r="D433" s="10" t="s">
        <v>45</v>
      </c>
      <c r="E433" s="10" t="s">
        <v>17</v>
      </c>
      <c r="F433" s="36" t="s">
        <v>463</v>
      </c>
      <c r="G433" s="37">
        <v>0.33</v>
      </c>
      <c r="H433" s="38">
        <v>0.28999999999999998</v>
      </c>
      <c r="I433" s="21" t="s">
        <v>19</v>
      </c>
      <c r="J433" s="21" t="s">
        <v>19</v>
      </c>
      <c r="K433" s="21" t="s">
        <v>19</v>
      </c>
      <c r="L433" s="21" t="s">
        <v>19</v>
      </c>
      <c r="M433" s="21" t="s">
        <v>19</v>
      </c>
      <c r="N433" s="17">
        <v>280</v>
      </c>
      <c r="O433" s="18">
        <v>0.6</v>
      </c>
    </row>
    <row r="434" spans="1:15" ht="17.399999999999999" x14ac:dyDescent="0.3">
      <c r="A434" s="7">
        <v>428</v>
      </c>
      <c r="B434" s="8" t="str">
        <f>HYPERLINK("https://webapp.icbf.com/v2/app/bull-search/view/1728111451","FR5965")</f>
        <v>FR5965</v>
      </c>
      <c r="C434" s="9" t="s">
        <v>465</v>
      </c>
      <c r="D434" s="10" t="s">
        <v>45</v>
      </c>
      <c r="E434" s="10" t="s">
        <v>27</v>
      </c>
      <c r="F434" s="36" t="s">
        <v>463</v>
      </c>
      <c r="G434" s="37">
        <v>0.33</v>
      </c>
      <c r="H434" s="38">
        <v>0.34</v>
      </c>
      <c r="I434" s="21" t="s">
        <v>19</v>
      </c>
      <c r="J434" s="21" t="s">
        <v>19</v>
      </c>
      <c r="K434" s="21" t="s">
        <v>19</v>
      </c>
      <c r="L434" s="21" t="s">
        <v>19</v>
      </c>
      <c r="M434" s="21" t="s">
        <v>19</v>
      </c>
      <c r="N434" s="17">
        <v>228</v>
      </c>
      <c r="O434" s="18">
        <v>0.55000000000000004</v>
      </c>
    </row>
    <row r="435" spans="1:15" ht="17.399999999999999" x14ac:dyDescent="0.3">
      <c r="A435" s="7">
        <v>429</v>
      </c>
      <c r="B435" s="8" t="str">
        <f>HYPERLINK("https://webapp.icbf.com/v2/app/bull-search/view/1140427948","FR2005")</f>
        <v>FR2005</v>
      </c>
      <c r="C435" s="9" t="s">
        <v>466</v>
      </c>
      <c r="D435" s="10" t="s">
        <v>45</v>
      </c>
      <c r="E435" s="10" t="s">
        <v>27</v>
      </c>
      <c r="F435" s="36" t="s">
        <v>463</v>
      </c>
      <c r="G435" s="37">
        <v>0.33</v>
      </c>
      <c r="H435" s="38">
        <v>0.53</v>
      </c>
      <c r="I435" s="21">
        <v>112</v>
      </c>
      <c r="J435" s="21">
        <v>166</v>
      </c>
      <c r="K435" s="21">
        <v>2074</v>
      </c>
      <c r="L435" s="23">
        <v>0.11</v>
      </c>
      <c r="M435" s="22">
        <v>6.9000000000000006E-2</v>
      </c>
      <c r="N435" s="17">
        <v>220</v>
      </c>
      <c r="O435" s="18">
        <v>0.94</v>
      </c>
    </row>
    <row r="436" spans="1:15" ht="17.399999999999999" x14ac:dyDescent="0.3">
      <c r="A436" s="7">
        <v>430</v>
      </c>
      <c r="B436" s="8" t="str">
        <f>HYPERLINK("https://webapp.icbf.com/v2/app/bull-search/view/1246920898","FR2235")</f>
        <v>FR2235</v>
      </c>
      <c r="C436" s="9" t="s">
        <v>467</v>
      </c>
      <c r="D436" s="10" t="s">
        <v>45</v>
      </c>
      <c r="E436" s="10" t="s">
        <v>27</v>
      </c>
      <c r="F436" s="36" t="s">
        <v>463</v>
      </c>
      <c r="G436" s="37">
        <v>0.33</v>
      </c>
      <c r="H436" s="38">
        <v>0.45</v>
      </c>
      <c r="I436" s="21">
        <v>56</v>
      </c>
      <c r="J436" s="21">
        <v>73</v>
      </c>
      <c r="K436" s="21">
        <v>782</v>
      </c>
      <c r="L436" s="23">
        <v>0.11</v>
      </c>
      <c r="M436" s="23">
        <v>0.11</v>
      </c>
      <c r="N436" s="17">
        <v>208</v>
      </c>
      <c r="O436" s="18">
        <v>0.93</v>
      </c>
    </row>
    <row r="437" spans="1:15" ht="17.399999999999999" x14ac:dyDescent="0.3">
      <c r="A437" s="7">
        <v>431</v>
      </c>
      <c r="B437" s="8" t="str">
        <f>HYPERLINK("https://webapp.icbf.com/v2/app/bull-search/view/1746160942","FR5845")</f>
        <v>FR5845</v>
      </c>
      <c r="C437" s="9" t="s">
        <v>468</v>
      </c>
      <c r="D437" s="10" t="s">
        <v>45</v>
      </c>
      <c r="E437" s="10" t="s">
        <v>21</v>
      </c>
      <c r="F437" s="36" t="s">
        <v>463</v>
      </c>
      <c r="G437" s="37">
        <v>0.33</v>
      </c>
      <c r="H437" s="38">
        <v>0.39</v>
      </c>
      <c r="I437" s="21" t="s">
        <v>19</v>
      </c>
      <c r="J437" s="21" t="s">
        <v>19</v>
      </c>
      <c r="K437" s="21" t="s">
        <v>19</v>
      </c>
      <c r="L437" s="21" t="s">
        <v>19</v>
      </c>
      <c r="M437" s="21" t="s">
        <v>19</v>
      </c>
      <c r="N437" s="17">
        <v>238</v>
      </c>
      <c r="O437" s="18">
        <v>0.62</v>
      </c>
    </row>
    <row r="438" spans="1:15" ht="17.399999999999999" x14ac:dyDescent="0.3">
      <c r="A438" s="7">
        <v>432</v>
      </c>
      <c r="B438" s="8" t="str">
        <f>HYPERLINK("https://webapp.icbf.com/v2/app/bull-search/view/1143307643","FR2056")</f>
        <v>FR2056</v>
      </c>
      <c r="C438" s="9" t="s">
        <v>469</v>
      </c>
      <c r="D438" s="10" t="s">
        <v>45</v>
      </c>
      <c r="E438" s="10" t="s">
        <v>27</v>
      </c>
      <c r="F438" s="36" t="s">
        <v>463</v>
      </c>
      <c r="G438" s="37">
        <v>0.33</v>
      </c>
      <c r="H438" s="38">
        <v>0.52</v>
      </c>
      <c r="I438" s="21">
        <v>115</v>
      </c>
      <c r="J438" s="21">
        <v>176</v>
      </c>
      <c r="K438" s="21">
        <v>1773</v>
      </c>
      <c r="L438" s="23">
        <v>0.11</v>
      </c>
      <c r="M438" s="22">
        <v>9.6000000000000002E-2</v>
      </c>
      <c r="N438" s="17">
        <v>215</v>
      </c>
      <c r="O438" s="18">
        <v>0.95</v>
      </c>
    </row>
    <row r="439" spans="1:15" ht="17.399999999999999" x14ac:dyDescent="0.3">
      <c r="A439" s="7">
        <v>433</v>
      </c>
      <c r="B439" s="8" t="str">
        <f>HYPERLINK("https://webapp.icbf.com/v2/app/bull-search/view/1724869420","FR6139")</f>
        <v>FR6139</v>
      </c>
      <c r="C439" s="9" t="s">
        <v>470</v>
      </c>
      <c r="D439" s="10" t="s">
        <v>45</v>
      </c>
      <c r="E439" s="10" t="s">
        <v>27</v>
      </c>
      <c r="F439" s="36" t="s">
        <v>463</v>
      </c>
      <c r="G439" s="37">
        <v>0.33</v>
      </c>
      <c r="H439" s="38">
        <v>0.38</v>
      </c>
      <c r="I439" s="21" t="s">
        <v>19</v>
      </c>
      <c r="J439" s="21" t="s">
        <v>19</v>
      </c>
      <c r="K439" s="21" t="s">
        <v>19</v>
      </c>
      <c r="L439" s="21" t="s">
        <v>19</v>
      </c>
      <c r="M439" s="21" t="s">
        <v>19</v>
      </c>
      <c r="N439" s="17">
        <v>290</v>
      </c>
      <c r="O439" s="18">
        <v>0.6</v>
      </c>
    </row>
    <row r="440" spans="1:15" ht="17.399999999999999" x14ac:dyDescent="0.3">
      <c r="A440" s="7">
        <v>434</v>
      </c>
      <c r="B440" s="8" t="str">
        <f>HYPERLINK("https://webapp.icbf.com/v2/app/bull-search/view/1872049075","FR6625")</f>
        <v>FR6625</v>
      </c>
      <c r="C440" s="9" t="s">
        <v>471</v>
      </c>
      <c r="D440" s="10" t="s">
        <v>45</v>
      </c>
      <c r="E440" s="10" t="s">
        <v>21</v>
      </c>
      <c r="F440" s="36" t="s">
        <v>463</v>
      </c>
      <c r="G440" s="37">
        <v>0.33</v>
      </c>
      <c r="H440" s="38">
        <v>0.2</v>
      </c>
      <c r="I440" s="21" t="s">
        <v>19</v>
      </c>
      <c r="J440" s="21" t="s">
        <v>19</v>
      </c>
      <c r="K440" s="21" t="s">
        <v>19</v>
      </c>
      <c r="L440" s="21" t="s">
        <v>19</v>
      </c>
      <c r="M440" s="21" t="s">
        <v>19</v>
      </c>
      <c r="N440" s="17">
        <v>330</v>
      </c>
      <c r="O440" s="18">
        <v>0.51</v>
      </c>
    </row>
    <row r="441" spans="1:15" ht="17.399999999999999" x14ac:dyDescent="0.3">
      <c r="A441" s="7">
        <v>435</v>
      </c>
      <c r="B441" s="8" t="str">
        <f>HYPERLINK("https://webapp.icbf.com/v2/app/bull-search/view/946492410","WSB   ")</f>
        <v xml:space="preserve">WSB   </v>
      </c>
      <c r="C441" s="9" t="s">
        <v>472</v>
      </c>
      <c r="D441" s="10" t="s">
        <v>45</v>
      </c>
      <c r="E441" s="10" t="s">
        <v>17</v>
      </c>
      <c r="F441" s="36" t="s">
        <v>463</v>
      </c>
      <c r="G441" s="37">
        <v>0.33</v>
      </c>
      <c r="H441" s="38">
        <v>0.44</v>
      </c>
      <c r="I441" s="21">
        <v>54</v>
      </c>
      <c r="J441" s="21">
        <v>69</v>
      </c>
      <c r="K441" s="21">
        <v>870</v>
      </c>
      <c r="L441" s="23">
        <v>0.14000000000000001</v>
      </c>
      <c r="M441" s="22">
        <v>7.8E-2</v>
      </c>
      <c r="N441" s="17">
        <v>208</v>
      </c>
      <c r="O441" s="18">
        <v>0.93</v>
      </c>
    </row>
    <row r="442" spans="1:15" ht="17.399999999999999" x14ac:dyDescent="0.3">
      <c r="A442" s="7">
        <v>436</v>
      </c>
      <c r="B442" s="8" t="str">
        <f>HYPERLINK("https://webapp.icbf.com/v2/app/bull-search/view/1605144623","FR4728")</f>
        <v>FR4728</v>
      </c>
      <c r="C442" s="9" t="s">
        <v>473</v>
      </c>
      <c r="D442" s="10" t="s">
        <v>45</v>
      </c>
      <c r="E442" s="10" t="s">
        <v>27</v>
      </c>
      <c r="F442" s="36" t="s">
        <v>463</v>
      </c>
      <c r="G442" s="37">
        <v>0.33</v>
      </c>
      <c r="H442" s="38">
        <v>0.41</v>
      </c>
      <c r="I442" s="21" t="s">
        <v>19</v>
      </c>
      <c r="J442" s="21" t="s">
        <v>19</v>
      </c>
      <c r="K442" s="21" t="s">
        <v>19</v>
      </c>
      <c r="L442" s="21" t="s">
        <v>19</v>
      </c>
      <c r="M442" s="21" t="s">
        <v>19</v>
      </c>
      <c r="N442" s="17">
        <v>297</v>
      </c>
      <c r="O442" s="18">
        <v>0.65</v>
      </c>
    </row>
    <row r="443" spans="1:15" ht="17.399999999999999" x14ac:dyDescent="0.3">
      <c r="A443" s="7">
        <v>437</v>
      </c>
      <c r="B443" s="8" t="str">
        <f>HYPERLINK("https://webapp.icbf.com/v2/app/bull-search/view/1376537108","FR4265")</f>
        <v>FR4265</v>
      </c>
      <c r="C443" s="9" t="s">
        <v>474</v>
      </c>
      <c r="D443" s="10" t="s">
        <v>45</v>
      </c>
      <c r="E443" s="10" t="s">
        <v>17</v>
      </c>
      <c r="F443" s="36" t="s">
        <v>463</v>
      </c>
      <c r="G443" s="37">
        <v>0.33</v>
      </c>
      <c r="H443" s="38">
        <v>0.33</v>
      </c>
      <c r="I443" s="21" t="s">
        <v>19</v>
      </c>
      <c r="J443" s="21" t="s">
        <v>19</v>
      </c>
      <c r="K443" s="21" t="s">
        <v>19</v>
      </c>
      <c r="L443" s="21" t="s">
        <v>19</v>
      </c>
      <c r="M443" s="21" t="s">
        <v>19</v>
      </c>
      <c r="N443" s="17">
        <v>202</v>
      </c>
      <c r="O443" s="18">
        <v>0.78</v>
      </c>
    </row>
    <row r="444" spans="1:15" ht="17.399999999999999" x14ac:dyDescent="0.3">
      <c r="A444" s="7">
        <v>438</v>
      </c>
      <c r="B444" s="8" t="str">
        <f>HYPERLINK("https://webapp.icbf.com/v2/app/bull-search/view/1867287334","FR6784")</f>
        <v>FR6784</v>
      </c>
      <c r="C444" s="9" t="s">
        <v>475</v>
      </c>
      <c r="D444" s="10" t="s">
        <v>45</v>
      </c>
      <c r="E444" s="10" t="s">
        <v>27</v>
      </c>
      <c r="F444" s="36" t="s">
        <v>463</v>
      </c>
      <c r="G444" s="37">
        <v>0.33</v>
      </c>
      <c r="H444" s="38">
        <v>0.32</v>
      </c>
      <c r="I444" s="21" t="s">
        <v>19</v>
      </c>
      <c r="J444" s="21" t="s">
        <v>19</v>
      </c>
      <c r="K444" s="21" t="s">
        <v>19</v>
      </c>
      <c r="L444" s="21" t="s">
        <v>19</v>
      </c>
      <c r="M444" s="21" t="s">
        <v>19</v>
      </c>
      <c r="N444" s="17">
        <v>300</v>
      </c>
      <c r="O444" s="18">
        <v>0.52</v>
      </c>
    </row>
    <row r="445" spans="1:15" ht="17.399999999999999" x14ac:dyDescent="0.3">
      <c r="A445" s="7">
        <v>439</v>
      </c>
      <c r="B445" s="8" t="str">
        <f>HYPERLINK("https://webapp.icbf.com/v2/app/bull-search/view/1860881407","FR6951")</f>
        <v>FR6951</v>
      </c>
      <c r="C445" s="9" t="s">
        <v>476</v>
      </c>
      <c r="D445" s="10" t="s">
        <v>45</v>
      </c>
      <c r="E445" s="10" t="s">
        <v>62</v>
      </c>
      <c r="F445" s="36" t="s">
        <v>463</v>
      </c>
      <c r="G445" s="37">
        <v>0.33</v>
      </c>
      <c r="H445" s="38">
        <v>0.27</v>
      </c>
      <c r="I445" s="21" t="s">
        <v>19</v>
      </c>
      <c r="J445" s="21" t="s">
        <v>19</v>
      </c>
      <c r="K445" s="21" t="s">
        <v>19</v>
      </c>
      <c r="L445" s="21" t="s">
        <v>19</v>
      </c>
      <c r="M445" s="21" t="s">
        <v>19</v>
      </c>
      <c r="N445" s="17">
        <v>316</v>
      </c>
      <c r="O445" s="18">
        <v>0.51</v>
      </c>
    </row>
    <row r="446" spans="1:15" ht="17.399999999999999" x14ac:dyDescent="0.3">
      <c r="A446" s="7">
        <v>440</v>
      </c>
      <c r="B446" s="8" t="str">
        <f>HYPERLINK("https://webapp.icbf.com/v2/app/bull-search/view/1244046478","FR2248")</f>
        <v>FR2248</v>
      </c>
      <c r="C446" s="9" t="s">
        <v>477</v>
      </c>
      <c r="D446" s="10" t="s">
        <v>45</v>
      </c>
      <c r="E446" s="10" t="s">
        <v>21</v>
      </c>
      <c r="F446" s="36" t="s">
        <v>463</v>
      </c>
      <c r="G446" s="37">
        <v>0.33</v>
      </c>
      <c r="H446" s="38">
        <v>0.37</v>
      </c>
      <c r="I446" s="21">
        <v>4</v>
      </c>
      <c r="J446" s="21">
        <v>7</v>
      </c>
      <c r="K446" s="21">
        <v>50</v>
      </c>
      <c r="L446" s="23">
        <v>0.14000000000000001</v>
      </c>
      <c r="M446" s="22">
        <v>0.08</v>
      </c>
      <c r="N446" s="17">
        <v>215</v>
      </c>
      <c r="O446" s="18">
        <v>0.84</v>
      </c>
    </row>
    <row r="447" spans="1:15" ht="17.399999999999999" x14ac:dyDescent="0.3">
      <c r="A447" s="7">
        <v>441</v>
      </c>
      <c r="B447" s="8" t="str">
        <f>HYPERLINK("https://webapp.icbf.com/v2/app/bull-search/view/1146533695","FR2053")</f>
        <v>FR2053</v>
      </c>
      <c r="C447" s="9" t="s">
        <v>478</v>
      </c>
      <c r="D447" s="10" t="s">
        <v>45</v>
      </c>
      <c r="E447" s="10" t="s">
        <v>17</v>
      </c>
      <c r="F447" s="36" t="s">
        <v>463</v>
      </c>
      <c r="G447" s="37">
        <v>0.33</v>
      </c>
      <c r="H447" s="38">
        <v>0.61</v>
      </c>
      <c r="I447" s="21">
        <v>197</v>
      </c>
      <c r="J447" s="21">
        <v>355</v>
      </c>
      <c r="K447" s="21">
        <v>3319</v>
      </c>
      <c r="L447" s="23">
        <v>0.11</v>
      </c>
      <c r="M447" s="22">
        <v>6.4000000000000001E-2</v>
      </c>
      <c r="N447" s="17">
        <v>230</v>
      </c>
      <c r="O447" s="18">
        <v>0.95</v>
      </c>
    </row>
    <row r="448" spans="1:15" ht="17.399999999999999" x14ac:dyDescent="0.3">
      <c r="A448" s="7">
        <v>442</v>
      </c>
      <c r="B448" s="8" t="str">
        <f>HYPERLINK("https://webapp.icbf.com/v2/app/bull-search/view/1471143309","FR4582")</f>
        <v>FR4582</v>
      </c>
      <c r="C448" s="9" t="s">
        <v>479</v>
      </c>
      <c r="D448" s="10" t="s">
        <v>45</v>
      </c>
      <c r="E448" s="10" t="s">
        <v>27</v>
      </c>
      <c r="F448" s="36" t="s">
        <v>463</v>
      </c>
      <c r="G448" s="37">
        <v>0.33</v>
      </c>
      <c r="H448" s="38">
        <v>0.36</v>
      </c>
      <c r="I448" s="21" t="s">
        <v>19</v>
      </c>
      <c r="J448" s="21" t="s">
        <v>19</v>
      </c>
      <c r="K448" s="21" t="s">
        <v>19</v>
      </c>
      <c r="L448" s="21" t="s">
        <v>19</v>
      </c>
      <c r="M448" s="21" t="s">
        <v>19</v>
      </c>
      <c r="N448" s="17">
        <v>284</v>
      </c>
      <c r="O448" s="18">
        <v>0.64</v>
      </c>
    </row>
    <row r="449" spans="1:15" ht="17.399999999999999" x14ac:dyDescent="0.3">
      <c r="A449" s="7">
        <v>443</v>
      </c>
      <c r="B449" s="8" t="str">
        <f>HYPERLINK("https://webapp.icbf.com/v2/app/bull-search/view/1120019243","LWR   ")</f>
        <v xml:space="preserve">LWR   </v>
      </c>
      <c r="C449" s="9" t="s">
        <v>480</v>
      </c>
      <c r="D449" s="10" t="s">
        <v>45</v>
      </c>
      <c r="E449" s="10" t="s">
        <v>27</v>
      </c>
      <c r="F449" s="36" t="s">
        <v>463</v>
      </c>
      <c r="G449" s="37">
        <v>0.33</v>
      </c>
      <c r="H449" s="38">
        <v>0.82</v>
      </c>
      <c r="I449" s="21">
        <v>807</v>
      </c>
      <c r="J449" s="21">
        <v>1449</v>
      </c>
      <c r="K449" s="21">
        <v>11548</v>
      </c>
      <c r="L449" s="23">
        <v>0.14000000000000001</v>
      </c>
      <c r="M449" s="22">
        <v>9.8000000000000004E-2</v>
      </c>
      <c r="N449" s="17">
        <v>224</v>
      </c>
      <c r="O449" s="18">
        <v>0.97</v>
      </c>
    </row>
    <row r="450" spans="1:15" ht="17.399999999999999" x14ac:dyDescent="0.3">
      <c r="A450" s="7">
        <v>444</v>
      </c>
      <c r="B450" s="8" t="str">
        <f>HYPERLINK("https://webapp.icbf.com/v2/app/bull-search/view/1367283215","FR4247")</f>
        <v>FR4247</v>
      </c>
      <c r="C450" s="9" t="s">
        <v>481</v>
      </c>
      <c r="D450" s="10" t="s">
        <v>45</v>
      </c>
      <c r="E450" s="10" t="s">
        <v>17</v>
      </c>
      <c r="F450" s="36" t="s">
        <v>482</v>
      </c>
      <c r="G450" s="37">
        <v>0.33</v>
      </c>
      <c r="H450" s="38">
        <v>0.43</v>
      </c>
      <c r="I450" s="21">
        <v>4</v>
      </c>
      <c r="J450" s="21">
        <v>7</v>
      </c>
      <c r="K450" s="21">
        <v>76</v>
      </c>
      <c r="L450" s="22">
        <v>0</v>
      </c>
      <c r="M450" s="22">
        <v>5.2999999999999999E-2</v>
      </c>
      <c r="N450" s="17">
        <v>223</v>
      </c>
      <c r="O450" s="18">
        <v>0.8</v>
      </c>
    </row>
    <row r="451" spans="1:15" ht="17.399999999999999" x14ac:dyDescent="0.3">
      <c r="A451" s="7">
        <v>445</v>
      </c>
      <c r="B451" s="8" t="str">
        <f>HYPERLINK("https://webapp.icbf.com/v2/app/bull-search/view/1060003998","OMG   ")</f>
        <v xml:space="preserve">OMG   </v>
      </c>
      <c r="C451" s="9" t="s">
        <v>483</v>
      </c>
      <c r="D451" s="10" t="s">
        <v>45</v>
      </c>
      <c r="E451" s="10" t="s">
        <v>27</v>
      </c>
      <c r="F451" s="36" t="s">
        <v>482</v>
      </c>
      <c r="G451" s="37">
        <v>0.33</v>
      </c>
      <c r="H451" s="38">
        <v>0.46</v>
      </c>
      <c r="I451" s="21">
        <v>47</v>
      </c>
      <c r="J451" s="21">
        <v>55</v>
      </c>
      <c r="K451" s="21">
        <v>693</v>
      </c>
      <c r="L451" s="23">
        <v>0.2</v>
      </c>
      <c r="M451" s="23">
        <v>0.15</v>
      </c>
      <c r="N451" s="17">
        <v>202</v>
      </c>
      <c r="O451" s="18">
        <v>0.93</v>
      </c>
    </row>
    <row r="452" spans="1:15" ht="17.399999999999999" x14ac:dyDescent="0.3">
      <c r="A452" s="7">
        <v>446</v>
      </c>
      <c r="B452" s="8" t="str">
        <f>HYPERLINK("https://webapp.icbf.com/v2/app/bull-search/view/1486255886","FR4554")</f>
        <v>FR4554</v>
      </c>
      <c r="C452" s="9" t="s">
        <v>484</v>
      </c>
      <c r="D452" s="10" t="s">
        <v>45</v>
      </c>
      <c r="E452" s="10" t="s">
        <v>17</v>
      </c>
      <c r="F452" s="36" t="s">
        <v>482</v>
      </c>
      <c r="G452" s="37">
        <v>0.33</v>
      </c>
      <c r="H452" s="38">
        <v>0.39</v>
      </c>
      <c r="I452" s="21" t="s">
        <v>19</v>
      </c>
      <c r="J452" s="21" t="s">
        <v>19</v>
      </c>
      <c r="K452" s="21" t="s">
        <v>19</v>
      </c>
      <c r="L452" s="21" t="s">
        <v>19</v>
      </c>
      <c r="M452" s="21" t="s">
        <v>19</v>
      </c>
      <c r="N452" s="17">
        <v>237</v>
      </c>
      <c r="O452" s="18">
        <v>0.67</v>
      </c>
    </row>
    <row r="453" spans="1:15" ht="17.399999999999999" x14ac:dyDescent="0.3">
      <c r="A453" s="7">
        <v>447</v>
      </c>
      <c r="B453" s="8" t="str">
        <f>HYPERLINK("https://webapp.icbf.com/v2/app/bull-search/view/1605561193","FR5692")</f>
        <v>FR5692</v>
      </c>
      <c r="C453" s="9" t="s">
        <v>485</v>
      </c>
      <c r="D453" s="10" t="s">
        <v>45</v>
      </c>
      <c r="E453" s="10" t="s">
        <v>27</v>
      </c>
      <c r="F453" s="36" t="s">
        <v>482</v>
      </c>
      <c r="G453" s="37">
        <v>0.34</v>
      </c>
      <c r="H453" s="38">
        <v>0.33</v>
      </c>
      <c r="I453" s="21" t="s">
        <v>19</v>
      </c>
      <c r="J453" s="21" t="s">
        <v>19</v>
      </c>
      <c r="K453" s="21" t="s">
        <v>19</v>
      </c>
      <c r="L453" s="21" t="s">
        <v>19</v>
      </c>
      <c r="M453" s="21" t="s">
        <v>19</v>
      </c>
      <c r="N453" s="17">
        <v>256</v>
      </c>
      <c r="O453" s="18">
        <v>0.63</v>
      </c>
    </row>
    <row r="454" spans="1:15" ht="18" thickBot="1" x14ac:dyDescent="0.35">
      <c r="A454" s="11">
        <v>448</v>
      </c>
      <c r="B454" s="12" t="str">
        <f>HYPERLINK("https://webapp.icbf.com/v2/app/bull-search/view/1351524148","FR4099")</f>
        <v>FR4099</v>
      </c>
      <c r="C454" s="13" t="s">
        <v>486</v>
      </c>
      <c r="D454" s="14" t="s">
        <v>45</v>
      </c>
      <c r="E454" s="14" t="s">
        <v>21</v>
      </c>
      <c r="F454" s="39" t="s">
        <v>482</v>
      </c>
      <c r="G454" s="40">
        <v>0.34</v>
      </c>
      <c r="H454" s="41">
        <v>0.45</v>
      </c>
      <c r="I454" s="24">
        <v>24</v>
      </c>
      <c r="J454" s="24">
        <v>44</v>
      </c>
      <c r="K454" s="24">
        <v>440</v>
      </c>
      <c r="L454" s="25">
        <v>0.14000000000000001</v>
      </c>
      <c r="M454" s="26">
        <v>7.2999999999999995E-2</v>
      </c>
      <c r="N454" s="19">
        <v>209</v>
      </c>
      <c r="O454" s="20">
        <v>0.89</v>
      </c>
    </row>
  </sheetData>
  <autoFilter ref="A6:P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Liver Fluke_x000D_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2021-03-23T12:48:46Z</dcterms:created>
  <dcterms:modified xsi:type="dcterms:W3CDTF">2021-03-23T15:36:20Z</dcterms:modified>
</cp:coreProperties>
</file>